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unee\OneDrive\Desktop\"/>
    </mc:Choice>
  </mc:AlternateContent>
  <xr:revisionPtr revIDLastSave="0" documentId="8_{72D30718-7B7E-4C8E-8AC1-63ADEFADBE3C}" xr6:coauthVersionLast="47" xr6:coauthVersionMax="47" xr10:uidLastSave="{00000000-0000-0000-0000-000000000000}"/>
  <bookViews>
    <workbookView xWindow="-120" yWindow="-120" windowWidth="29040" windowHeight="15840" xr2:uid="{9493708E-E31C-4DBB-A9C1-71CC13F63ABF}"/>
  </bookViews>
  <sheets>
    <sheet name="Sheet1" sheetId="3" r:id="rId1"/>
    <sheet name="fund accounting" sheetId="2" r:id="rId2"/>
    <sheet name="FEE RECO" sheetId="1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9" i="2" l="1"/>
  <c r="E289" i="2"/>
  <c r="F288" i="2"/>
  <c r="E288" i="2"/>
  <c r="F284" i="2"/>
  <c r="E284" i="2"/>
  <c r="E283" i="2"/>
  <c r="F282" i="2"/>
  <c r="E282" i="2"/>
  <c r="F281" i="2"/>
  <c r="F292" i="2" s="1"/>
  <c r="E281" i="2"/>
  <c r="E292" i="2" s="1"/>
  <c r="D281" i="2"/>
  <c r="D292" i="2" s="1"/>
  <c r="E271" i="2"/>
  <c r="F255" i="2"/>
  <c r="E255" i="2"/>
  <c r="D255" i="2"/>
  <c r="D246" i="2"/>
  <c r="D257" i="2" s="1"/>
  <c r="F229" i="2"/>
  <c r="F294" i="2" s="1"/>
  <c r="F227" i="2"/>
  <c r="D227" i="2"/>
  <c r="E226" i="2"/>
  <c r="E225" i="2"/>
  <c r="E224" i="2"/>
  <c r="E223" i="2"/>
  <c r="E222" i="2"/>
  <c r="E221" i="2"/>
  <c r="E220" i="2"/>
  <c r="E219" i="2"/>
  <c r="E218" i="2"/>
  <c r="J217" i="2"/>
  <c r="E217" i="2"/>
  <c r="E216" i="2"/>
  <c r="E215" i="2"/>
  <c r="E213" i="2"/>
  <c r="E211" i="2"/>
  <c r="E210" i="2"/>
  <c r="E227" i="2" s="1"/>
  <c r="E229" i="2" s="1"/>
  <c r="E294" i="2" s="1"/>
  <c r="E209" i="2"/>
  <c r="F206" i="2"/>
  <c r="E206" i="2"/>
  <c r="D206" i="2"/>
  <c r="D229" i="2" s="1"/>
  <c r="D294" i="2" s="1"/>
  <c r="F192" i="2"/>
  <c r="C191" i="2"/>
  <c r="C190" i="2"/>
  <c r="C189" i="2"/>
  <c r="C188" i="2"/>
  <c r="E187" i="2"/>
  <c r="C187" i="2"/>
  <c r="F184" i="2"/>
  <c r="E184" i="2"/>
  <c r="F182" i="2"/>
  <c r="E182" i="2"/>
  <c r="D182" i="2"/>
  <c r="D184" i="2" s="1"/>
  <c r="F180" i="2"/>
  <c r="E180" i="2"/>
  <c r="F177" i="2"/>
  <c r="E177" i="2"/>
  <c r="D177" i="2"/>
  <c r="F176" i="2"/>
  <c r="E176" i="2"/>
  <c r="E192" i="2" s="1"/>
  <c r="F163" i="2"/>
  <c r="F191" i="2" s="1"/>
  <c r="D163" i="2"/>
  <c r="D191" i="2" s="1"/>
  <c r="F161" i="2"/>
  <c r="E161" i="2"/>
  <c r="D161" i="2"/>
  <c r="F159" i="2"/>
  <c r="E159" i="2"/>
  <c r="F156" i="2"/>
  <c r="D156" i="2"/>
  <c r="F155" i="2"/>
  <c r="E155" i="2"/>
  <c r="E163" i="2" s="1"/>
  <c r="E191" i="2" s="1"/>
  <c r="D149" i="2"/>
  <c r="D190" i="2" s="1"/>
  <c r="F147" i="2"/>
  <c r="D147" i="2"/>
  <c r="F145" i="2"/>
  <c r="E145" i="2"/>
  <c r="E147" i="2" s="1"/>
  <c r="E149" i="2" s="1"/>
  <c r="E190" i="2" s="1"/>
  <c r="E142" i="2"/>
  <c r="D142" i="2"/>
  <c r="F141" i="2"/>
  <c r="F149" i="2" s="1"/>
  <c r="F190" i="2" s="1"/>
  <c r="E141" i="2"/>
  <c r="D135" i="2"/>
  <c r="D189" i="2" s="1"/>
  <c r="D133" i="2"/>
  <c r="F131" i="2"/>
  <c r="E131" i="2"/>
  <c r="F130" i="2"/>
  <c r="F133" i="2" s="1"/>
  <c r="E130" i="2"/>
  <c r="E133" i="2" s="1"/>
  <c r="F127" i="2"/>
  <c r="D127" i="2"/>
  <c r="F126" i="2"/>
  <c r="F135" i="2" s="1"/>
  <c r="F189" i="2" s="1"/>
  <c r="E126" i="2"/>
  <c r="E127" i="2" s="1"/>
  <c r="F118" i="2"/>
  <c r="D118" i="2"/>
  <c r="F115" i="2"/>
  <c r="E115" i="2"/>
  <c r="E118" i="2" s="1"/>
  <c r="E112" i="2"/>
  <c r="E120" i="2" s="1"/>
  <c r="E188" i="2" s="1"/>
  <c r="D112" i="2"/>
  <c r="D120" i="2" s="1"/>
  <c r="D188" i="2" s="1"/>
  <c r="F111" i="2"/>
  <c r="F112" i="2" s="1"/>
  <c r="F120" i="2" s="1"/>
  <c r="F188" i="2" s="1"/>
  <c r="E111" i="2"/>
  <c r="E104" i="2"/>
  <c r="D104" i="2"/>
  <c r="D187" i="2" s="1"/>
  <c r="F102" i="2"/>
  <c r="E102" i="2"/>
  <c r="D102" i="2"/>
  <c r="F93" i="2"/>
  <c r="F104" i="2" s="1"/>
  <c r="F187" i="2" s="1"/>
  <c r="E93" i="2"/>
  <c r="D93" i="2"/>
  <c r="D80" i="2"/>
  <c r="F76" i="2"/>
  <c r="E76" i="2"/>
  <c r="F72" i="2"/>
  <c r="E72" i="2"/>
  <c r="F67" i="2"/>
  <c r="E67" i="2"/>
  <c r="F66" i="2"/>
  <c r="E66" i="2"/>
  <c r="F65" i="2"/>
  <c r="E65" i="2"/>
  <c r="F64" i="2"/>
  <c r="E64" i="2"/>
  <c r="D64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F49" i="2"/>
  <c r="F80" i="2" s="1"/>
  <c r="E49" i="2"/>
  <c r="E80" i="2" s="1"/>
  <c r="E82" i="2" s="1"/>
  <c r="E269" i="2" s="1"/>
  <c r="E46" i="2"/>
  <c r="D46" i="2"/>
  <c r="D82" i="2" s="1"/>
  <c r="D269" i="2" s="1"/>
  <c r="F45" i="2"/>
  <c r="F46" i="2" s="1"/>
  <c r="F82" i="2" s="1"/>
  <c r="F269" i="2" s="1"/>
  <c r="E45" i="2"/>
  <c r="D36" i="2"/>
  <c r="D268" i="2" s="1"/>
  <c r="D34" i="2"/>
  <c r="J32" i="2"/>
  <c r="L32" i="2" s="1"/>
  <c r="F32" i="2"/>
  <c r="K32" i="2" s="1"/>
  <c r="M32" i="2" s="1"/>
  <c r="E32" i="2"/>
  <c r="K31" i="2"/>
  <c r="M31" i="2" s="1"/>
  <c r="F31" i="2"/>
  <c r="E31" i="2"/>
  <c r="J31" i="2" s="1"/>
  <c r="L31" i="2" s="1"/>
  <c r="J30" i="2"/>
  <c r="L30" i="2" s="1"/>
  <c r="F30" i="2"/>
  <c r="K30" i="2" s="1"/>
  <c r="M30" i="2" s="1"/>
  <c r="E30" i="2"/>
  <c r="K29" i="2"/>
  <c r="M29" i="2" s="1"/>
  <c r="F29" i="2"/>
  <c r="E29" i="2"/>
  <c r="J29" i="2" s="1"/>
  <c r="L29" i="2" s="1"/>
  <c r="J28" i="2"/>
  <c r="L28" i="2" s="1"/>
  <c r="F28" i="2"/>
  <c r="K28" i="2" s="1"/>
  <c r="M28" i="2" s="1"/>
  <c r="E28" i="2"/>
  <c r="K27" i="2"/>
  <c r="M27" i="2" s="1"/>
  <c r="F27" i="2"/>
  <c r="E27" i="2"/>
  <c r="J27" i="2" s="1"/>
  <c r="L27" i="2" s="1"/>
  <c r="J26" i="2"/>
  <c r="L26" i="2" s="1"/>
  <c r="F26" i="2"/>
  <c r="K26" i="2" s="1"/>
  <c r="M26" i="2" s="1"/>
  <c r="E26" i="2"/>
  <c r="D26" i="2"/>
  <c r="F25" i="2"/>
  <c r="K25" i="2" s="1"/>
  <c r="M25" i="2" s="1"/>
  <c r="E25" i="2"/>
  <c r="J25" i="2" s="1"/>
  <c r="L25" i="2" s="1"/>
  <c r="K24" i="2"/>
  <c r="M24" i="2" s="1"/>
  <c r="J24" i="2"/>
  <c r="L24" i="2" s="1"/>
  <c r="F24" i="2"/>
  <c r="E24" i="2"/>
  <c r="F23" i="2"/>
  <c r="K23" i="2" s="1"/>
  <c r="M23" i="2" s="1"/>
  <c r="E23" i="2"/>
  <c r="J23" i="2" s="1"/>
  <c r="L23" i="2" s="1"/>
  <c r="K22" i="2"/>
  <c r="M22" i="2" s="1"/>
  <c r="J22" i="2"/>
  <c r="L22" i="2" s="1"/>
  <c r="F22" i="2"/>
  <c r="E22" i="2"/>
  <c r="F21" i="2"/>
  <c r="K21" i="2" s="1"/>
  <c r="M21" i="2" s="1"/>
  <c r="E21" i="2"/>
  <c r="J21" i="2" s="1"/>
  <c r="L21" i="2" s="1"/>
  <c r="K20" i="2"/>
  <c r="M20" i="2" s="1"/>
  <c r="J20" i="2"/>
  <c r="L20" i="2" s="1"/>
  <c r="E20" i="2"/>
  <c r="K19" i="2"/>
  <c r="M19" i="2" s="1"/>
  <c r="E19" i="2"/>
  <c r="J19" i="2" s="1"/>
  <c r="L19" i="2" s="1"/>
  <c r="F18" i="2"/>
  <c r="F34" i="2" s="1"/>
  <c r="E18" i="2"/>
  <c r="E34" i="2" s="1"/>
  <c r="E36" i="2" s="1"/>
  <c r="E268" i="2" s="1"/>
  <c r="E15" i="2"/>
  <c r="D15" i="2"/>
  <c r="J11" i="2"/>
  <c r="L11" i="2" s="1"/>
  <c r="F11" i="2"/>
  <c r="F15" i="2" s="1"/>
  <c r="F36" i="2" s="1"/>
  <c r="F268" i="2" s="1"/>
  <c r="E11" i="2"/>
  <c r="U24" i="1"/>
  <c r="F21" i="1"/>
  <c r="E21" i="1"/>
  <c r="D21" i="1"/>
  <c r="C21" i="1"/>
  <c r="P20" i="1"/>
  <c r="N20" i="1"/>
  <c r="K20" i="1"/>
  <c r="L20" i="1" s="1"/>
  <c r="J20" i="1"/>
  <c r="H20" i="1"/>
  <c r="F20" i="1"/>
  <c r="T20" i="1" s="1"/>
  <c r="R19" i="1"/>
  <c r="K19" i="1"/>
  <c r="L19" i="1" s="1"/>
  <c r="F19" i="1"/>
  <c r="P19" i="1" s="1"/>
  <c r="P18" i="1"/>
  <c r="N18" i="1"/>
  <c r="K18" i="1"/>
  <c r="J18" i="1"/>
  <c r="H18" i="1"/>
  <c r="F18" i="1"/>
  <c r="T18" i="1" s="1"/>
  <c r="R17" i="1"/>
  <c r="K17" i="1"/>
  <c r="L17" i="1" s="1"/>
  <c r="F17" i="1"/>
  <c r="P17" i="1" s="1"/>
  <c r="N16" i="1"/>
  <c r="K16" i="1"/>
  <c r="J16" i="1"/>
  <c r="P16" i="1" s="1"/>
  <c r="H16" i="1"/>
  <c r="F16" i="1"/>
  <c r="T16" i="1" s="1"/>
  <c r="K15" i="1"/>
  <c r="L15" i="1" s="1"/>
  <c r="R15" i="1" s="1"/>
  <c r="F15" i="1"/>
  <c r="J15" i="1" s="1"/>
  <c r="P15" i="1" s="1"/>
  <c r="N14" i="1"/>
  <c r="K14" i="1"/>
  <c r="J14" i="1"/>
  <c r="P14" i="1" s="1"/>
  <c r="H14" i="1"/>
  <c r="F14" i="1"/>
  <c r="T14" i="1" s="1"/>
  <c r="K13" i="1"/>
  <c r="L13" i="1" s="1"/>
  <c r="R13" i="1" s="1"/>
  <c r="F13" i="1"/>
  <c r="J13" i="1" s="1"/>
  <c r="P13" i="1" s="1"/>
  <c r="N12" i="1"/>
  <c r="K12" i="1"/>
  <c r="J12" i="1"/>
  <c r="P12" i="1" s="1"/>
  <c r="H12" i="1"/>
  <c r="F12" i="1"/>
  <c r="T12" i="1" s="1"/>
  <c r="K11" i="1"/>
  <c r="L11" i="1" s="1"/>
  <c r="R11" i="1" s="1"/>
  <c r="F11" i="1"/>
  <c r="J11" i="1" s="1"/>
  <c r="P11" i="1" s="1"/>
  <c r="N10" i="1"/>
  <c r="K10" i="1"/>
  <c r="J10" i="1"/>
  <c r="P10" i="1" s="1"/>
  <c r="H10" i="1"/>
  <c r="F10" i="1"/>
  <c r="T10" i="1" s="1"/>
  <c r="K9" i="1"/>
  <c r="L9" i="1" s="1"/>
  <c r="R9" i="1" s="1"/>
  <c r="F9" i="1"/>
  <c r="J9" i="1" s="1"/>
  <c r="P9" i="1" s="1"/>
  <c r="N8" i="1"/>
  <c r="K8" i="1"/>
  <c r="J8" i="1"/>
  <c r="P8" i="1" s="1"/>
  <c r="H8" i="1"/>
  <c r="F8" i="1"/>
  <c r="T8" i="1" s="1"/>
  <c r="K7" i="1"/>
  <c r="L7" i="1" s="1"/>
  <c r="F7" i="1"/>
  <c r="J7" i="1" s="1"/>
  <c r="F193" i="2" l="1"/>
  <c r="F270" i="2" s="1"/>
  <c r="F279" i="2" s="1"/>
  <c r="F293" i="2" s="1"/>
  <c r="F309" i="2" s="1"/>
  <c r="D295" i="2"/>
  <c r="E243" i="2"/>
  <c r="E246" i="2" s="1"/>
  <c r="E257" i="2" s="1"/>
  <c r="K11" i="2"/>
  <c r="M11" i="2" s="1"/>
  <c r="J18" i="2"/>
  <c r="L18" i="2" s="1"/>
  <c r="D192" i="2"/>
  <c r="D193" i="2" s="1"/>
  <c r="D270" i="2" s="1"/>
  <c r="D279" i="2" s="1"/>
  <c r="D293" i="2" s="1"/>
  <c r="E135" i="2"/>
  <c r="E189" i="2" s="1"/>
  <c r="E193" i="2" s="1"/>
  <c r="E270" i="2" s="1"/>
  <c r="E279" i="2" s="1"/>
  <c r="E293" i="2" s="1"/>
  <c r="E309" i="2" s="1"/>
  <c r="K18" i="2"/>
  <c r="M18" i="2" s="1"/>
  <c r="F142" i="2"/>
  <c r="E156" i="2"/>
  <c r="U18" i="1"/>
  <c r="P7" i="1"/>
  <c r="P21" i="1" s="1"/>
  <c r="P23" i="1" s="1"/>
  <c r="P25" i="1" s="1"/>
  <c r="U12" i="1"/>
  <c r="R7" i="1"/>
  <c r="T7" i="1"/>
  <c r="T9" i="1"/>
  <c r="T11" i="1"/>
  <c r="T13" i="1"/>
  <c r="T15" i="1"/>
  <c r="T17" i="1"/>
  <c r="T19" i="1"/>
  <c r="H7" i="1"/>
  <c r="N7" i="1"/>
  <c r="H9" i="1"/>
  <c r="N9" i="1"/>
  <c r="H11" i="1"/>
  <c r="N11" i="1"/>
  <c r="H13" i="1"/>
  <c r="N13" i="1"/>
  <c r="H15" i="1"/>
  <c r="N15" i="1"/>
  <c r="H17" i="1"/>
  <c r="N17" i="1"/>
  <c r="R18" i="1"/>
  <c r="H19" i="1"/>
  <c r="N19" i="1"/>
  <c r="R20" i="1"/>
  <c r="U20" i="1" s="1"/>
  <c r="L8" i="1"/>
  <c r="R8" i="1" s="1"/>
  <c r="U8" i="1" s="1"/>
  <c r="L10" i="1"/>
  <c r="R10" i="1" s="1"/>
  <c r="U10" i="1" s="1"/>
  <c r="L12" i="1"/>
  <c r="R12" i="1" s="1"/>
  <c r="L14" i="1"/>
  <c r="R14" i="1" s="1"/>
  <c r="U14" i="1" s="1"/>
  <c r="L16" i="1"/>
  <c r="R16" i="1" s="1"/>
  <c r="U16" i="1" s="1"/>
  <c r="J17" i="1"/>
  <c r="J21" i="1" s="1"/>
  <c r="J23" i="1" s="1"/>
  <c r="J25" i="1" s="1"/>
  <c r="L18" i="1"/>
  <c r="J19" i="1"/>
  <c r="F243" i="2" l="1"/>
  <c r="F246" i="2" s="1"/>
  <c r="F257" i="2" s="1"/>
  <c r="F295" i="2" s="1"/>
  <c r="E295" i="2"/>
  <c r="T21" i="1"/>
  <c r="U7" i="1"/>
  <c r="H21" i="1"/>
  <c r="H23" i="1" s="1"/>
  <c r="H25" i="1" s="1"/>
  <c r="U13" i="1"/>
  <c r="N21" i="1"/>
  <c r="N23" i="1" s="1"/>
  <c r="N25" i="1" s="1"/>
  <c r="U19" i="1"/>
  <c r="U11" i="1"/>
  <c r="R21" i="1"/>
  <c r="R23" i="1" s="1"/>
  <c r="R25" i="1" s="1"/>
  <c r="U15" i="1"/>
  <c r="U17" i="1"/>
  <c r="U9" i="1"/>
  <c r="L21" i="1"/>
  <c r="L23" i="1" s="1"/>
  <c r="L25" i="1" s="1"/>
  <c r="U21" i="1" l="1"/>
  <c r="U23" i="1" s="1"/>
  <c r="U25" i="1" s="1"/>
</calcChain>
</file>

<file path=xl/sharedStrings.xml><?xml version="1.0" encoding="utf-8"?>
<sst xmlns="http://schemas.openxmlformats.org/spreadsheetml/2006/main" count="301" uniqueCount="208">
  <si>
    <t>FEE RECONCILATION 2021-22</t>
  </si>
  <si>
    <t>CLASS</t>
  </si>
  <si>
    <t>TOTAL Students</t>
  </si>
  <si>
    <t>EWS</t>
  </si>
  <si>
    <t>Concession 100%</t>
  </si>
  <si>
    <t>Net Fee Payabale Students</t>
  </si>
  <si>
    <t>TUITION FEE (p.m.)</t>
  </si>
  <si>
    <t>AMOUNT</t>
  </si>
  <si>
    <t>ANNUAL CHARGES [Yly ]</t>
  </si>
  <si>
    <t>DEV FEE 2021-22 (p.a.)</t>
  </si>
  <si>
    <t>Smart class</t>
  </si>
  <si>
    <t>Sci.</t>
  </si>
  <si>
    <t>Comp Fees</t>
  </si>
  <si>
    <t>Examination Fees</t>
  </si>
  <si>
    <t>PS</t>
  </si>
  <si>
    <t>PP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</si>
  <si>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</si>
  <si>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</si>
  <si>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</si>
  <si>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</si>
  <si>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</si>
  <si>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</si>
  <si>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</si>
  <si>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</si>
  <si>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</si>
  <si>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</si>
  <si>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</si>
  <si>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</si>
  <si>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Less: Fee Concession 2021-22 (Annexture 1)</t>
  </si>
  <si>
    <t>Balance Fee Receivable</t>
  </si>
  <si>
    <t>Add: Fee Arrear Receivable XII Class 2020-21</t>
  </si>
  <si>
    <t>Total Fee Receivable 2021-22</t>
  </si>
  <si>
    <t>Detailed Justification of Itemwise breakup for purposed fee for All Revenue &amp; Capital Expenditures</t>
  </si>
  <si>
    <t>(A)</t>
  </si>
  <si>
    <t>Expenses towards standard cost of establishment and allowance/benefits payble to employees along with curricular expenses of revenue nature (As per clause 4 of order No. : DE.15/Act/Duggal.com/203/99/23033- 23980 dated 15.12.99 and clause 19 of order dated 11.02.2009</t>
  </si>
  <si>
    <t>Particulars</t>
  </si>
  <si>
    <t>As Per Balance Sheet (2022 - 2023)</t>
  </si>
  <si>
    <t>Projected (2023-24)</t>
  </si>
  <si>
    <t>Budgeted (2024-25)</t>
  </si>
  <si>
    <t>% inc in Budgted</t>
  </si>
  <si>
    <t>Diff [ a - b ]</t>
  </si>
  <si>
    <t>Diff [ b - c ]</t>
  </si>
  <si>
    <t>% [ a-b]</t>
  </si>
  <si>
    <t>% [ b-c]</t>
  </si>
  <si>
    <t>22-23</t>
  </si>
  <si>
    <t>23-24</t>
  </si>
  <si>
    <t>24-25</t>
  </si>
  <si>
    <t>25-26</t>
  </si>
  <si>
    <t>INCOME</t>
  </si>
  <si>
    <t>a</t>
  </si>
  <si>
    <t>b</t>
  </si>
  <si>
    <t>c</t>
  </si>
  <si>
    <t xml:space="preserve">Tuition Fees </t>
  </si>
  <si>
    <t>Impact of 7th CPC collection of Arrear 7 Fees</t>
  </si>
  <si>
    <t xml:space="preserve"> - Arrear Collection</t>
  </si>
  <si>
    <t xml:space="preserve"> - Incremental Fees</t>
  </si>
  <si>
    <t>TOTAL INCOME (A)</t>
  </si>
  <si>
    <t xml:space="preserve">EXPENSES </t>
  </si>
  <si>
    <t>Salary Expenses</t>
  </si>
  <si>
    <t xml:space="preserve">Gratuity </t>
  </si>
  <si>
    <t xml:space="preserve">Leave Encashment </t>
  </si>
  <si>
    <t>4 Months working reserve</t>
  </si>
  <si>
    <t>PF &amp; ESIC Payable</t>
  </si>
  <si>
    <t>Admin Charges</t>
  </si>
  <si>
    <t>Watch &amp; Ward Expenses ( Security Expenses )</t>
  </si>
  <si>
    <t>Liveries</t>
  </si>
  <si>
    <t>Staff Welfare</t>
  </si>
  <si>
    <t>Conveyance</t>
  </si>
  <si>
    <t>Seminar &amp; Workshop Expenses</t>
  </si>
  <si>
    <t>Medical Expenses</t>
  </si>
  <si>
    <t>Education Tours &amp; Trips</t>
  </si>
  <si>
    <t>House Keeping Expense</t>
  </si>
  <si>
    <t>Student Welfare</t>
  </si>
  <si>
    <t>Board Examination Fee / Affiliation Fees</t>
  </si>
  <si>
    <t>TOTAL EXPENSES (B)</t>
  </si>
  <si>
    <t>Surplus/(Deficit) against Tution Fees (A-B)</t>
  </si>
  <si>
    <t>(B)</t>
  </si>
  <si>
    <t>Expenses towards all revenue expenses not included against the tution fee above and overheads and expenses on play -grounds, sports, equipments, cultural and othr co-curricular activiities (As per clause 5 of order no: DE.15/Act/Duggal.com/203/99/23033-23980 dated 15.12.99 and clause 21 of order Dated 11.02.2009)</t>
  </si>
  <si>
    <t>Annual Charges (A)</t>
  </si>
  <si>
    <t>Repair &amp; Maintenacne - Others</t>
  </si>
  <si>
    <t>Repair &amp; Maintenacne - Building</t>
  </si>
  <si>
    <t>Club &amp; House Activity</t>
  </si>
  <si>
    <t>Library &amp; Perodicals</t>
  </si>
  <si>
    <t>Electricity &amp; Water Expenses</t>
  </si>
  <si>
    <t>Generator Expense</t>
  </si>
  <si>
    <t>Communication Expenses</t>
  </si>
  <si>
    <t>Website Charges</t>
  </si>
  <si>
    <t>Printing &amp; Stationery Expenses</t>
  </si>
  <si>
    <t>Function Expenses</t>
  </si>
  <si>
    <t>Fees &amp; Subscription</t>
  </si>
  <si>
    <t>Advertisment Expenses</t>
  </si>
  <si>
    <t>Examination, Assingment &amp; Asseement Exp.</t>
  </si>
  <si>
    <t>Books &amp; Periodicals</t>
  </si>
  <si>
    <t>Misc. &amp; Postage &amp; Courier Expenses</t>
  </si>
  <si>
    <t>Accounting expenses</t>
  </si>
  <si>
    <t>Audit Fees</t>
  </si>
  <si>
    <t>Audit &amp; Legal &amp; Professional Expenses</t>
  </si>
  <si>
    <t>Fees Rates &amp; Taxes</t>
  </si>
  <si>
    <t>Admission Expenses</t>
  </si>
  <si>
    <t>Insurance Expenses other then vehicle</t>
  </si>
  <si>
    <t>News paper &amp; magazine</t>
  </si>
  <si>
    <t>Gardening Expenses</t>
  </si>
  <si>
    <t>Toiltries Expenses</t>
  </si>
  <si>
    <t>Consultancy Charges</t>
  </si>
  <si>
    <t>Office Expenses</t>
  </si>
  <si>
    <t>Ground Rent &amp; Property tax</t>
  </si>
  <si>
    <t>Fire Fighting Expenses</t>
  </si>
  <si>
    <t>Short &amp; Excess</t>
  </si>
  <si>
    <t>House Tax</t>
  </si>
  <si>
    <t>Total Expenses (B)</t>
  </si>
  <si>
    <t xml:space="preserve">Surplus/(Deficit) against Annual Charges (A-B) </t>
  </si>
  <si>
    <t>(C)</t>
  </si>
  <si>
    <t>Expenses towards Earmarked Levies (As per clause 6 of order no. DE./15/ACT/duggal.com/203/99/23033-23980 Dated 15.12.1999 and clause 22 of order Dated 11.02.2009) (Separate fo reach Earmarkd levy)</t>
  </si>
  <si>
    <t>TRASNPORT FEES</t>
  </si>
  <si>
    <t>As Per Balance Sheet (2018 - 2019)</t>
  </si>
  <si>
    <t>Projected (2019-20)</t>
  </si>
  <si>
    <t>Budgeted (2020-21)</t>
  </si>
  <si>
    <t xml:space="preserve">Collection of Earmarked Levies - Transport Fees </t>
  </si>
  <si>
    <t>EXPENSES</t>
  </si>
  <si>
    <t>Transport -Salary Expenses</t>
  </si>
  <si>
    <t xml:space="preserve">Transport - Vehcile Running &amp; Maintenance Expenses </t>
  </si>
  <si>
    <t xml:space="preserve">Transport- Insurance </t>
  </si>
  <si>
    <t>Transport- Hire Charges</t>
  </si>
  <si>
    <t>Depreciation on Vehicle</t>
  </si>
  <si>
    <t xml:space="preserve">Surplus/(Deficit) against Transport Fees (A-B) </t>
  </si>
  <si>
    <t>SMART CLASS FEES</t>
  </si>
  <si>
    <t>Collection of Earmarked Levies - Smart Class (A)</t>
  </si>
  <si>
    <t>Smart Class Expenses</t>
  </si>
  <si>
    <t xml:space="preserve">Surplus/(Deficit) against Smart Class Fees (A-B) </t>
  </si>
  <si>
    <t>Computer &amp; Science Fee</t>
  </si>
  <si>
    <t>Collection of Earmarked Levies - Technology Charges (A)</t>
  </si>
  <si>
    <t>Computer Expenses</t>
  </si>
  <si>
    <t>Science Expenses</t>
  </si>
  <si>
    <t xml:space="preserve">Surplus/(Deficit) against Technology Charges (A-B) </t>
  </si>
  <si>
    <t>Collection of Earmarked Levies - Examination Fees (A)</t>
  </si>
  <si>
    <t>Expenses</t>
  </si>
  <si>
    <t xml:space="preserve">Surplus/(Deficit) against Examination Fees (A-B) </t>
  </si>
  <si>
    <t>Activity Fees</t>
  </si>
  <si>
    <t>Collection of Earmarked Levies - Activity Fees (A)</t>
  </si>
  <si>
    <t>Culture &amp; Sports Activity Exps</t>
  </si>
  <si>
    <t xml:space="preserve">Surplus/(Deficit) against Activity Fees (A-B) </t>
  </si>
  <si>
    <t>Accidental Insurance</t>
  </si>
  <si>
    <t>Collection of Earmarked Levies - Accidental Insurance Fees (A)</t>
  </si>
  <si>
    <t xml:space="preserve">Surplus/(Deficit) against Eamination Fees (A-B) </t>
  </si>
  <si>
    <t xml:space="preserve"> Surplus/(Deficit) against Accidnetal Insurnace [A-B]</t>
  </si>
  <si>
    <t>(D)</t>
  </si>
  <si>
    <t>Expenditue for supplementing the resources for purchase, upgradation and replacement of furniture &amp; fixtufe &amp; Equipments (As per clause 7 of Order no. DE.15/Act/Duggal.com/203/99/23033-23980 dated 15.12.1999 and Clause 14 of Order dated 11.02.2009</t>
  </si>
  <si>
    <t>RECEIPT-Opening Balance</t>
  </si>
  <si>
    <t xml:space="preserve"> Transfer from Depreciation Reserve Fund</t>
  </si>
  <si>
    <t>Total Collection of Development Fee (A)</t>
  </si>
  <si>
    <t xml:space="preserve">EXPENDITURE </t>
  </si>
  <si>
    <t>Air Conditioners</t>
  </si>
  <si>
    <t>Auditorium Equipments</t>
  </si>
  <si>
    <t>Swings</t>
  </si>
  <si>
    <t>Lift</t>
  </si>
  <si>
    <t>Projectors</t>
  </si>
  <si>
    <t>Rain Water Havvesting</t>
  </si>
  <si>
    <t>Robotic Lab/ Science Lab</t>
  </si>
  <si>
    <t>Office Equipments</t>
  </si>
  <si>
    <t>Electronic Equipment</t>
  </si>
  <si>
    <t>Sports Equipments</t>
  </si>
  <si>
    <t xml:space="preserve">Funriture </t>
  </si>
  <si>
    <t xml:space="preserve">Computer </t>
  </si>
  <si>
    <t>Solar</t>
  </si>
  <si>
    <t>Audio Visual</t>
  </si>
  <si>
    <t>CCTV</t>
  </si>
  <si>
    <t>Infrastructure Development (Class Rooms)</t>
  </si>
  <si>
    <t>Water Cooler</t>
  </si>
  <si>
    <t>Smart Board</t>
  </si>
  <si>
    <t>Development Fee Balance/(Deficit) (A-B)</t>
  </si>
  <si>
    <t xml:space="preserve"> Transfer from School Bus Fund</t>
  </si>
  <si>
    <t>Total Collection of Transport Fee</t>
  </si>
  <si>
    <t xml:space="preserve">IV </t>
  </si>
  <si>
    <t>SUMMARY OF INCOME OF THE SCHOOL</t>
  </si>
  <si>
    <t>Surplus/(Deficit) against Tution Fees (A)</t>
  </si>
  <si>
    <t>Surplus/(Deficit) against Annual Charges (B)</t>
  </si>
  <si>
    <t>Surplus/(Deficit) against Earmrked levies (C.)</t>
  </si>
  <si>
    <t>Other Income of the School (D) Excluding Transport income</t>
  </si>
  <si>
    <t xml:space="preserve"> - </t>
  </si>
  <si>
    <t xml:space="preserve"> -</t>
  </si>
  <si>
    <t>Total (E) = (A+B+C+D)</t>
  </si>
  <si>
    <t>Less : Expenses / Expenditure not covered above</t>
  </si>
  <si>
    <t>Amount Written Off</t>
  </si>
  <si>
    <t>Bank Charges</t>
  </si>
  <si>
    <t xml:space="preserve">Depreciation </t>
  </si>
  <si>
    <t>Fire Safety Activity</t>
  </si>
  <si>
    <t>Labour Tax</t>
  </si>
  <si>
    <t>Foreign Currency Flactuation</t>
  </si>
  <si>
    <t>Charity &amp; Donation</t>
  </si>
  <si>
    <t>Freight &amp; Forwarding</t>
  </si>
  <si>
    <t>Interest on late payment of TDS</t>
  </si>
  <si>
    <t>Swipe Charges</t>
  </si>
  <si>
    <t>Total Expenses / Expenditure not covered above - (F)</t>
  </si>
  <si>
    <t>Net Surplus / (Deficit) of the School - (G) = ( E - F )</t>
  </si>
  <si>
    <t>Development Fee Surplus / (Deficit)</t>
  </si>
  <si>
    <t>Transport Fee Surplus / (Deficit)</t>
  </si>
  <si>
    <t>particulars</t>
  </si>
  <si>
    <t>Parent Group</t>
  </si>
  <si>
    <t xml:space="preserve">Dr </t>
  </si>
  <si>
    <t>Cr</t>
  </si>
  <si>
    <t>x</t>
  </si>
  <si>
    <t>tuition fee</t>
  </si>
  <si>
    <t>v</t>
  </si>
  <si>
    <t>annual chgs</t>
  </si>
  <si>
    <t>e</t>
  </si>
  <si>
    <t>development fee</t>
  </si>
  <si>
    <t>rt</t>
  </si>
  <si>
    <t>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</si>
</sst>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u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4" fillId="0" borderId="4" xfId="0" applyFont="1" applyBorder="1"/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2" borderId="13" xfId="0" applyFont="1" applyFill="1" applyBorder="1"/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/>
    <xf numFmtId="0" fontId="7" fillId="0" borderId="0" xfId="0" applyFont="1"/>
    <xf numFmtId="164" fontId="7" fillId="0" borderId="21" xfId="1" applyFont="1" applyBorder="1"/>
    <xf numFmtId="0" fontId="6" fillId="0" borderId="22" xfId="0" applyFont="1" applyBorder="1"/>
    <xf numFmtId="164" fontId="6" fillId="0" borderId="21" xfId="1" applyFont="1" applyBorder="1"/>
    <xf numFmtId="164" fontId="7" fillId="0" borderId="22" xfId="0" applyNumberFormat="1" applyFont="1" applyBorder="1"/>
    <xf numFmtId="164" fontId="7" fillId="0" borderId="0" xfId="0" applyNumberFormat="1" applyFont="1"/>
    <xf numFmtId="43" fontId="6" fillId="0" borderId="0" xfId="0" applyNumberFormat="1" applyFont="1"/>
    <xf numFmtId="164" fontId="6" fillId="0" borderId="23" xfId="1" applyFont="1" applyBorder="1"/>
    <xf numFmtId="164" fontId="7" fillId="0" borderId="24" xfId="0" applyNumberFormat="1" applyFont="1" applyBorder="1"/>
    <xf numFmtId="164" fontId="6" fillId="0" borderId="25" xfId="1" applyFont="1" applyBorder="1"/>
    <xf numFmtId="164" fontId="7" fillId="0" borderId="26" xfId="0" applyNumberFormat="1" applyFont="1" applyBorder="1"/>
    <xf numFmtId="164" fontId="7" fillId="0" borderId="27" xfId="1" applyFont="1" applyBorder="1"/>
    <xf numFmtId="164" fontId="7" fillId="0" borderId="28" xfId="1" applyFont="1" applyFill="1" applyBorder="1"/>
    <xf numFmtId="164" fontId="7" fillId="0" borderId="0" xfId="1" applyFont="1" applyFill="1" applyBorder="1"/>
    <xf numFmtId="164" fontId="7" fillId="0" borderId="29" xfId="1" applyFont="1" applyBorder="1"/>
    <xf numFmtId="164" fontId="7" fillId="0" borderId="29" xfId="1" applyFont="1" applyFill="1" applyBorder="1"/>
    <xf numFmtId="164" fontId="7" fillId="0" borderId="23" xfId="1" applyFont="1" applyBorder="1"/>
    <xf numFmtId="0" fontId="6" fillId="0" borderId="23" xfId="0" applyFont="1" applyBorder="1"/>
    <xf numFmtId="164" fontId="6" fillId="0" borderId="21" xfId="1" applyFont="1" applyFill="1" applyBorder="1"/>
    <xf numFmtId="164" fontId="6" fillId="0" borderId="0" xfId="1" applyFont="1" applyFill="1" applyBorder="1"/>
    <xf numFmtId="164" fontId="6" fillId="3" borderId="21" xfId="1" applyFont="1" applyFill="1" applyBorder="1"/>
    <xf numFmtId="164" fontId="6" fillId="3" borderId="23" xfId="1" applyFont="1" applyFill="1" applyBorder="1"/>
    <xf numFmtId="164" fontId="6" fillId="0" borderId="23" xfId="1" applyFont="1" applyFill="1" applyBorder="1"/>
    <xf numFmtId="164" fontId="6" fillId="0" borderId="22" xfId="1" applyFont="1" applyBorder="1"/>
    <xf numFmtId="164" fontId="6" fillId="0" borderId="22" xfId="1" applyFont="1" applyFill="1" applyBorder="1"/>
    <xf numFmtId="164" fontId="6" fillId="0" borderId="30" xfId="1" applyFont="1" applyBorder="1"/>
    <xf numFmtId="164" fontId="6" fillId="0" borderId="30" xfId="1" applyFont="1" applyFill="1" applyBorder="1"/>
    <xf numFmtId="164" fontId="7" fillId="0" borderId="27" xfId="1" applyFont="1" applyFill="1" applyBorder="1"/>
    <xf numFmtId="164" fontId="6" fillId="0" borderId="19" xfId="1" applyFont="1" applyBorder="1"/>
    <xf numFmtId="164" fontId="6" fillId="0" borderId="20" xfId="1" applyFont="1" applyBorder="1"/>
    <xf numFmtId="164" fontId="6" fillId="0" borderId="20" xfId="1" applyFont="1" applyFill="1" applyBorder="1"/>
    <xf numFmtId="164" fontId="7" fillId="0" borderId="19" xfId="1" applyFont="1" applyBorder="1"/>
    <xf numFmtId="164" fontId="7" fillId="0" borderId="20" xfId="1" applyFont="1" applyFill="1" applyBorder="1"/>
    <xf numFmtId="164" fontId="7" fillId="0" borderId="21" xfId="0" applyNumberFormat="1" applyFont="1" applyBorder="1"/>
    <xf numFmtId="164" fontId="6" fillId="0" borderId="29" xfId="1" applyFont="1" applyBorder="1"/>
    <xf numFmtId="0" fontId="6" fillId="0" borderId="31" xfId="0" applyFont="1" applyBorder="1"/>
    <xf numFmtId="164" fontId="8" fillId="0" borderId="21" xfId="1" applyFont="1" applyBorder="1"/>
    <xf numFmtId="164" fontId="6" fillId="0" borderId="32" xfId="1" applyFont="1" applyBorder="1"/>
    <xf numFmtId="164" fontId="6" fillId="0" borderId="32" xfId="1" applyFont="1" applyFill="1" applyBorder="1"/>
    <xf numFmtId="164" fontId="6" fillId="0" borderId="24" xfId="1" applyFont="1" applyBorder="1"/>
    <xf numFmtId="164" fontId="6" fillId="0" borderId="24" xfId="1" applyFont="1" applyFill="1" applyBorder="1"/>
    <xf numFmtId="164" fontId="7" fillId="0" borderId="27" xfId="0" applyNumberFormat="1" applyFont="1" applyBorder="1"/>
    <xf numFmtId="0" fontId="6" fillId="0" borderId="25" xfId="0" applyFont="1" applyBorder="1"/>
    <xf numFmtId="0" fontId="6" fillId="0" borderId="0" xfId="0" applyFont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6" fillId="0" borderId="29" xfId="0" applyFont="1" applyBorder="1"/>
    <xf numFmtId="164" fontId="7" fillId="0" borderId="19" xfId="0" applyNumberFormat="1" applyFont="1" applyBorder="1"/>
    <xf numFmtId="164" fontId="7" fillId="0" borderId="25" xfId="1" applyFont="1" applyBorder="1"/>
    <xf numFmtId="164" fontId="7" fillId="0" borderId="25" xfId="1" applyFont="1" applyFill="1" applyBorder="1"/>
    <xf numFmtId="0" fontId="6" fillId="0" borderId="21" xfId="0" applyFont="1" applyBorder="1"/>
    <xf numFmtId="164" fontId="6" fillId="0" borderId="25" xfId="1" applyFont="1" applyFill="1" applyBorder="1"/>
    <xf numFmtId="164" fontId="7" fillId="0" borderId="30" xfId="1" applyFont="1" applyBorder="1"/>
    <xf numFmtId="164" fontId="7" fillId="0" borderId="28" xfId="1" applyFont="1" applyBorder="1"/>
    <xf numFmtId="164" fontId="9" fillId="0" borderId="21" xfId="1" applyFont="1" applyBorder="1"/>
    <xf numFmtId="164" fontId="9" fillId="0" borderId="21" xfId="1" applyFont="1" applyFill="1" applyBorder="1"/>
    <xf numFmtId="164" fontId="9" fillId="0" borderId="0" xfId="1" applyFont="1" applyFill="1" applyBorder="1"/>
    <xf numFmtId="164" fontId="7" fillId="0" borderId="0" xfId="1" applyFont="1" applyBorder="1"/>
    <xf numFmtId="164" fontId="7" fillId="0" borderId="26" xfId="1" applyFont="1" applyBorder="1"/>
    <xf numFmtId="164" fontId="7" fillId="0" borderId="26" xfId="1" applyFont="1" applyFill="1" applyBorder="1"/>
    <xf numFmtId="164" fontId="6" fillId="0" borderId="26" xfId="1" applyFont="1" applyBorder="1"/>
    <xf numFmtId="164" fontId="6" fillId="0" borderId="26" xfId="1" applyFont="1" applyFill="1" applyBorder="1"/>
    <xf numFmtId="164" fontId="6" fillId="0" borderId="0" xfId="1" applyFont="1" applyBorder="1"/>
    <xf numFmtId="164" fontId="6" fillId="0" borderId="16" xfId="1" applyFont="1" applyBorder="1"/>
    <xf numFmtId="164" fontId="6" fillId="0" borderId="17" xfId="0" applyNumberFormat="1" applyFont="1" applyBorder="1"/>
    <xf numFmtId="164" fontId="6" fillId="0" borderId="0" xfId="0" applyNumberFormat="1" applyFont="1"/>
    <xf numFmtId="164" fontId="6" fillId="0" borderId="31" xfId="0" applyNumberFormat="1" applyFont="1" applyBorder="1"/>
    <xf numFmtId="164" fontId="6" fillId="0" borderId="22" xfId="0" applyNumberFormat="1" applyFont="1" applyBorder="1"/>
    <xf numFmtId="164" fontId="6" fillId="0" borderId="21" xfId="0" applyNumberFormat="1" applyFont="1" applyBorder="1"/>
    <xf numFmtId="164" fontId="6" fillId="0" borderId="19" xfId="0" applyNumberFormat="1" applyFont="1" applyBorder="1"/>
    <xf numFmtId="164" fontId="7" fillId="0" borderId="16" xfId="1" applyFont="1" applyBorder="1"/>
    <xf numFmtId="164" fontId="7" fillId="0" borderId="16" xfId="1" applyFont="1" applyFill="1" applyBorder="1"/>
    <xf numFmtId="164" fontId="8" fillId="0" borderId="21" xfId="1" applyFont="1" applyFill="1" applyBorder="1"/>
    <xf numFmtId="164" fontId="8" fillId="0" borderId="0" xfId="1" applyFont="1" applyFill="1" applyBorder="1"/>
    <xf numFmtId="164" fontId="8" fillId="0" borderId="30" xfId="1" applyFont="1" applyBorder="1"/>
    <xf numFmtId="164" fontId="8" fillId="0" borderId="30" xfId="1" applyFont="1" applyFill="1" applyBorder="1"/>
    <xf numFmtId="164" fontId="7" fillId="0" borderId="33" xfId="1" applyFont="1" applyFill="1" applyBorder="1"/>
    <xf numFmtId="164" fontId="6" fillId="0" borderId="0" xfId="1" applyFont="1"/>
    <xf numFmtId="164" fontId="6" fillId="0" borderId="0" xfId="1" applyFont="1" applyFill="1"/>
    <xf numFmtId="164" fontId="6" fillId="0" borderId="30" xfId="0" applyNumberFormat="1" applyFont="1" applyBorder="1"/>
    <xf numFmtId="164" fontId="6" fillId="0" borderId="28" xfId="1" applyFont="1" applyFill="1" applyBorder="1"/>
    <xf numFmtId="164" fontId="7" fillId="0" borderId="28" xfId="0" applyNumberFormat="1" applyFont="1" applyBorder="1"/>
    <xf numFmtId="164" fontId="6" fillId="0" borderId="27" xfId="0" applyNumberFormat="1" applyFont="1" applyBorder="1"/>
    <xf numFmtId="164" fontId="6" fillId="0" borderId="28" xfId="0" applyNumberFormat="1" applyFont="1" applyBorder="1"/>
    <xf numFmtId="164" fontId="7" fillId="0" borderId="34" xfId="1" applyFont="1" applyBorder="1"/>
    <xf numFmtId="164" fontId="7" fillId="0" borderId="34" xfId="1" applyFont="1" applyFill="1" applyBorder="1"/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 2" xfId="1" xr:uid="{C7775538-6EDC-4AF0-9D91-3C5FC1496C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CHOOLS\DOE%20PROPOSAL%20FY%202020%20-%202021%20-%20ONWARDS\BPS%20-%20SV\FINAL%20GAP%20ANALYSIS%20AND%20RECEIPTS%20&amp;%20PAYMENT%2020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tra1-pc\doe%20proposal%20fy%202020%20-%202021\BPS%20-%20SV\receipts%20and%20pay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tra1-pc\DOE%20PROPOSAL%20FY%202020%20-%202021\BPS%20-%20SV\projected%20balance%20sheet%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 "/>
      <sheetName val="Bal Sheet"/>
      <sheetName val="Management Discussion "/>
      <sheetName val="BUDGTED 2020-21"/>
      <sheetName val="Income &amp; Exp"/>
      <sheetName val="tution fee fund ac with increas"/>
      <sheetName val="fund accounting"/>
      <sheetName val="DEVELOP- Reco "/>
      <sheetName val="Observation "/>
      <sheetName val="Gap Analysis"/>
      <sheetName val="dep- normal"/>
      <sheetName val="dep- DF"/>
    </sheetNames>
    <sheetDataSet>
      <sheetData sheetId="0"/>
      <sheetData sheetId="1"/>
      <sheetData sheetId="2"/>
      <sheetData sheetId="3"/>
      <sheetData sheetId="4">
        <row r="9">
          <cell r="E9">
            <v>76889280</v>
          </cell>
          <cell r="F9">
            <v>99956064</v>
          </cell>
        </row>
        <row r="10">
          <cell r="E10">
            <v>42600</v>
          </cell>
        </row>
        <row r="11">
          <cell r="E11">
            <v>9124800</v>
          </cell>
          <cell r="F11">
            <v>10037280</v>
          </cell>
        </row>
        <row r="12">
          <cell r="E12">
            <v>1613100</v>
          </cell>
          <cell r="F12">
            <v>1613100</v>
          </cell>
        </row>
        <row r="14">
          <cell r="E14">
            <v>1270800</v>
          </cell>
          <cell r="F14">
            <v>1270800</v>
          </cell>
        </row>
        <row r="15">
          <cell r="E15">
            <v>2755800</v>
          </cell>
          <cell r="F15">
            <v>2755800</v>
          </cell>
        </row>
        <row r="16">
          <cell r="E16">
            <v>5855000</v>
          </cell>
          <cell r="F16">
            <v>5855000</v>
          </cell>
        </row>
        <row r="19">
          <cell r="E19">
            <v>1042250</v>
          </cell>
          <cell r="F19">
            <v>1042250</v>
          </cell>
        </row>
        <row r="20">
          <cell r="E20">
            <v>0</v>
          </cell>
        </row>
        <row r="21">
          <cell r="E21">
            <v>73550</v>
          </cell>
        </row>
        <row r="23">
          <cell r="E23">
            <v>5500000</v>
          </cell>
        </row>
        <row r="24">
          <cell r="E24">
            <v>25000</v>
          </cell>
        </row>
        <row r="25">
          <cell r="E25">
            <v>42450</v>
          </cell>
        </row>
        <row r="31">
          <cell r="E31">
            <v>49408475</v>
          </cell>
          <cell r="F31">
            <v>62908100</v>
          </cell>
        </row>
        <row r="32">
          <cell r="E32">
            <v>13846166</v>
          </cell>
          <cell r="F32">
            <v>20647200</v>
          </cell>
        </row>
        <row r="35">
          <cell r="E35">
            <v>720000</v>
          </cell>
          <cell r="F35">
            <v>800000</v>
          </cell>
        </row>
        <row r="37">
          <cell r="E37">
            <v>2288899</v>
          </cell>
        </row>
        <row r="38">
          <cell r="E38">
            <v>450000</v>
          </cell>
        </row>
        <row r="39">
          <cell r="E39">
            <v>3426000</v>
          </cell>
        </row>
        <row r="41">
          <cell r="E41">
            <v>600000</v>
          </cell>
          <cell r="F41">
            <v>680000</v>
          </cell>
        </row>
        <row r="42">
          <cell r="E42">
            <v>71000</v>
          </cell>
          <cell r="F42">
            <v>92000</v>
          </cell>
        </row>
        <row r="43">
          <cell r="E43">
            <v>175000</v>
          </cell>
          <cell r="F43">
            <v>250000</v>
          </cell>
        </row>
        <row r="50">
          <cell r="E50">
            <v>30000</v>
          </cell>
          <cell r="F50">
            <v>35000</v>
          </cell>
        </row>
        <row r="51">
          <cell r="E51">
            <v>349063</v>
          </cell>
          <cell r="F51">
            <v>349063</v>
          </cell>
        </row>
        <row r="52">
          <cell r="E52">
            <v>250000</v>
          </cell>
          <cell r="F52">
            <v>275000</v>
          </cell>
        </row>
        <row r="53">
          <cell r="E53">
            <v>1400000</v>
          </cell>
          <cell r="F53">
            <v>1500000</v>
          </cell>
        </row>
        <row r="54">
          <cell r="E54">
            <v>1650000</v>
          </cell>
          <cell r="F54">
            <v>1700000</v>
          </cell>
        </row>
        <row r="55">
          <cell r="E55">
            <v>500000</v>
          </cell>
          <cell r="F55">
            <v>550000</v>
          </cell>
        </row>
        <row r="56">
          <cell r="E56">
            <v>1140000</v>
          </cell>
          <cell r="F56">
            <v>1250000</v>
          </cell>
        </row>
        <row r="57">
          <cell r="E57">
            <v>470000</v>
          </cell>
          <cell r="F57">
            <v>500000</v>
          </cell>
        </row>
        <row r="58">
          <cell r="E58">
            <v>25000</v>
          </cell>
          <cell r="F58">
            <v>25000</v>
          </cell>
        </row>
        <row r="61">
          <cell r="E61">
            <v>600000</v>
          </cell>
          <cell r="F61">
            <v>600000</v>
          </cell>
        </row>
        <row r="62">
          <cell r="E62">
            <v>3200000</v>
          </cell>
          <cell r="F62">
            <v>3450000</v>
          </cell>
        </row>
        <row r="63">
          <cell r="E63">
            <v>32000</v>
          </cell>
          <cell r="F63">
            <v>40000</v>
          </cell>
        </row>
        <row r="64">
          <cell r="E64">
            <v>51000</v>
          </cell>
          <cell r="F64">
            <v>60000</v>
          </cell>
        </row>
        <row r="65">
          <cell r="E65">
            <v>800000</v>
          </cell>
          <cell r="F65">
            <v>1000000</v>
          </cell>
        </row>
        <row r="66">
          <cell r="E66">
            <v>1250000</v>
          </cell>
          <cell r="F66">
            <v>1300000</v>
          </cell>
        </row>
        <row r="67">
          <cell r="E67">
            <v>75000</v>
          </cell>
          <cell r="F67">
            <v>120000</v>
          </cell>
        </row>
        <row r="68">
          <cell r="E68">
            <v>1350000</v>
          </cell>
          <cell r="F68">
            <v>1400000</v>
          </cell>
        </row>
        <row r="69">
          <cell r="E69">
            <v>500000</v>
          </cell>
          <cell r="F69">
            <v>700000</v>
          </cell>
        </row>
        <row r="70">
          <cell r="E70">
            <v>50000</v>
          </cell>
          <cell r="F70">
            <v>50000</v>
          </cell>
        </row>
        <row r="71">
          <cell r="E71">
            <v>55000</v>
          </cell>
          <cell r="F71">
            <v>60000</v>
          </cell>
        </row>
        <row r="72">
          <cell r="E72">
            <v>20000</v>
          </cell>
          <cell r="F72">
            <v>25000</v>
          </cell>
        </row>
        <row r="73">
          <cell r="E73">
            <v>800000</v>
          </cell>
          <cell r="F73">
            <v>900000</v>
          </cell>
        </row>
        <row r="74">
          <cell r="E74">
            <v>650000</v>
          </cell>
          <cell r="F74">
            <v>710000</v>
          </cell>
        </row>
        <row r="75">
          <cell r="E75">
            <v>2500000</v>
          </cell>
          <cell r="F75">
            <v>2650000</v>
          </cell>
        </row>
        <row r="76">
          <cell r="E76">
            <v>250000</v>
          </cell>
          <cell r="F76">
            <v>275000</v>
          </cell>
        </row>
        <row r="77">
          <cell r="E77">
            <v>20000</v>
          </cell>
          <cell r="F77">
            <v>25000</v>
          </cell>
        </row>
        <row r="78">
          <cell r="E78">
            <v>650000</v>
          </cell>
          <cell r="F78">
            <v>750000</v>
          </cell>
        </row>
        <row r="80">
          <cell r="E80">
            <v>75000</v>
          </cell>
          <cell r="F80">
            <v>125000</v>
          </cell>
        </row>
        <row r="81">
          <cell r="E81">
            <v>6000</v>
          </cell>
          <cell r="F81">
            <v>8000</v>
          </cell>
        </row>
        <row r="96">
          <cell r="E96">
            <v>800000</v>
          </cell>
          <cell r="F96">
            <v>800000</v>
          </cell>
        </row>
        <row r="97">
          <cell r="E97">
            <v>3100000</v>
          </cell>
          <cell r="F97">
            <v>3200000</v>
          </cell>
        </row>
        <row r="98">
          <cell r="E98">
            <v>1200000</v>
          </cell>
          <cell r="F98">
            <v>1350000</v>
          </cell>
        </row>
        <row r="100">
          <cell r="E100">
            <v>3200000</v>
          </cell>
          <cell r="F100">
            <v>3200000</v>
          </cell>
        </row>
        <row r="101">
          <cell r="E101">
            <v>650000</v>
          </cell>
          <cell r="F101">
            <v>720000</v>
          </cell>
        </row>
        <row r="102">
          <cell r="E102">
            <v>500000</v>
          </cell>
          <cell r="F102">
            <v>620000</v>
          </cell>
        </row>
        <row r="110">
          <cell r="F110">
            <v>0</v>
          </cell>
        </row>
        <row r="112">
          <cell r="F112">
            <v>5000000</v>
          </cell>
        </row>
        <row r="113">
          <cell r="E113">
            <v>2500000</v>
          </cell>
          <cell r="F113">
            <v>2700000</v>
          </cell>
        </row>
        <row r="114">
          <cell r="E114">
            <v>11806565</v>
          </cell>
        </row>
        <row r="118">
          <cell r="E118">
            <v>-14351158</v>
          </cell>
          <cell r="F118">
            <v>-33277336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E 19"/>
    </sheetNames>
    <sheetDataSet>
      <sheetData sheetId="0">
        <row r="23">
          <cell r="J23">
            <v>22105861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E 17 (2)"/>
      <sheetName val="BS 19"/>
      <sheetName val="IE 19"/>
      <sheetName val=" ANN18-19"/>
      <sheetName val="FA 18-19"/>
      <sheetName val="DF 18-19"/>
      <sheetName val="Sheet1"/>
      <sheetName val="GAP"/>
      <sheetName val="Sch-13"/>
    </sheetNames>
    <sheetDataSet>
      <sheetData sheetId="0"/>
      <sheetData sheetId="1"/>
      <sheetData sheetId="2">
        <row r="11">
          <cell r="F11">
            <v>49408475</v>
          </cell>
        </row>
      </sheetData>
      <sheetData sheetId="3">
        <row r="199">
          <cell r="E199">
            <v>2288899</v>
          </cell>
        </row>
      </sheetData>
      <sheetData sheetId="4">
        <row r="54">
          <cell r="I54">
            <v>2831923</v>
          </cell>
        </row>
      </sheetData>
      <sheetData sheetId="5">
        <row r="12">
          <cell r="H12">
            <v>500000</v>
          </cell>
        </row>
        <row r="23">
          <cell r="H23">
            <v>500000</v>
          </cell>
        </row>
        <row r="24">
          <cell r="G24">
            <v>62780</v>
          </cell>
          <cell r="H24">
            <v>300000</v>
          </cell>
        </row>
        <row r="27">
          <cell r="H27">
            <v>500000</v>
          </cell>
        </row>
        <row r="29">
          <cell r="H29">
            <v>500000</v>
          </cell>
        </row>
        <row r="30">
          <cell r="G30">
            <v>50000</v>
          </cell>
          <cell r="H30">
            <v>1270000</v>
          </cell>
        </row>
        <row r="31">
          <cell r="H31">
            <v>200000</v>
          </cell>
        </row>
        <row r="32">
          <cell r="G32">
            <v>230624</v>
          </cell>
          <cell r="H32">
            <v>447148</v>
          </cell>
        </row>
        <row r="33">
          <cell r="G33">
            <v>56500</v>
          </cell>
          <cell r="H33">
            <v>112300</v>
          </cell>
        </row>
        <row r="37">
          <cell r="H37">
            <v>200000</v>
          </cell>
        </row>
        <row r="38">
          <cell r="G38">
            <v>315807</v>
          </cell>
        </row>
        <row r="41">
          <cell r="G41">
            <v>903908</v>
          </cell>
          <cell r="H41">
            <v>103548</v>
          </cell>
        </row>
        <row r="45">
          <cell r="H45">
            <v>500000</v>
          </cell>
        </row>
        <row r="47">
          <cell r="H47">
            <v>500000</v>
          </cell>
        </row>
        <row r="50">
          <cell r="G50">
            <v>1798021</v>
          </cell>
          <cell r="H50">
            <v>41250</v>
          </cell>
        </row>
        <row r="53">
          <cell r="H53">
            <v>897607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6B207-807F-4BBF-9621-962ADA8E3F8E}">
  <dimension ref="C3:F15"/>
  <sheetViews>
    <sheetView tabSelected="1" workbookViewId="0">
      <selection activeCell="H13" sqref="H13"/>
    </sheetView>
  </sheetViews>
  <sheetFormatPr defaultRowHeight="15" x14ac:dyDescent="0.25"/>
  <cols>
    <col min="3" max="3" width="10.28515625" bestFit="1" customWidth="1"/>
    <col min="4" max="4" width="16.5703125" bestFit="1" customWidth="1"/>
    <col min="5" max="6" width="4" bestFit="1" customWidth="1"/>
  </cols>
  <sheetData>
    <row r="3" spans="3:6" x14ac:dyDescent="0.25">
      <c r="C3" t="s">
        <v>196</v>
      </c>
      <c r="D3" t="s">
        <v>197</v>
      </c>
      <c r="E3" t="s">
        <v>198</v>
      </c>
      <c r="F3" t="s">
        <v>199</v>
      </c>
    </row>
    <row r="4" spans="3:6" x14ac:dyDescent="0.25">
      <c r="C4" t="s">
        <v>200</v>
      </c>
      <c r="D4" t="s">
        <v>201</v>
      </c>
      <c r="E4">
        <v>100</v>
      </c>
    </row>
    <row r="5" spans="3:6" x14ac:dyDescent="0.25">
      <c r="C5" t="s">
        <v>202</v>
      </c>
      <c r="D5" t="s">
        <v>203</v>
      </c>
      <c r="E5">
        <v>400</v>
      </c>
    </row>
    <row r="6" spans="3:6" x14ac:dyDescent="0.25">
      <c r="C6" t="s">
        <v>204</v>
      </c>
      <c r="D6" t="s">
        <v>205</v>
      </c>
      <c r="E6">
        <v>200</v>
      </c>
    </row>
    <row r="7" spans="3:6" x14ac:dyDescent="0.25">
      <c r="C7" t="s">
        <v>206</v>
      </c>
      <c r="D7" t="s">
        <v>207</v>
      </c>
      <c r="E7">
        <v>200</v>
      </c>
    </row>
    <row r="12" spans="3:6" x14ac:dyDescent="0.25">
      <c r="C12" t="s">
        <v>201</v>
      </c>
      <c r="F12">
        <v>100</v>
      </c>
    </row>
    <row r="13" spans="3:6" x14ac:dyDescent="0.25">
      <c r="C13" t="s">
        <v>203</v>
      </c>
      <c r="F13">
        <v>200</v>
      </c>
    </row>
    <row r="14" spans="3:6" x14ac:dyDescent="0.25">
      <c r="C14" t="s">
        <v>205</v>
      </c>
      <c r="F14">
        <v>300</v>
      </c>
    </row>
    <row r="15" spans="3:6" x14ac:dyDescent="0.25">
      <c r="C15" t="s">
        <v>207</v>
      </c>
      <c r="F15"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FBFE5-0498-4DBE-9F02-376E6A668F61}">
  <dimension ref="B2:U309"/>
  <sheetViews>
    <sheetView topLeftCell="B1" workbookViewId="0">
      <selection activeCell="C282" sqref="C282"/>
    </sheetView>
  </sheetViews>
  <sheetFormatPr defaultColWidth="9.140625" defaultRowHeight="13.5" x14ac:dyDescent="0.25"/>
  <cols>
    <col min="1" max="1" width="3.42578125" style="31" customWidth="1"/>
    <col min="2" max="2" width="4.140625" style="31" customWidth="1"/>
    <col min="3" max="3" width="51.42578125" style="31" bestFit="1" customWidth="1"/>
    <col min="4" max="4" width="17.42578125" style="31" customWidth="1"/>
    <col min="5" max="5" width="19.5703125" style="31" customWidth="1"/>
    <col min="6" max="6" width="16.85546875" style="31" bestFit="1" customWidth="1"/>
    <col min="7" max="8" width="16.85546875" style="31" customWidth="1"/>
    <col min="9" max="9" width="14.140625" style="31" bestFit="1" customWidth="1"/>
    <col min="10" max="11" width="14.28515625" style="31" bestFit="1" customWidth="1"/>
    <col min="12" max="16384" width="9.140625" style="31"/>
  </cols>
  <sheetData>
    <row r="2" spans="2:21" ht="15.75" x14ac:dyDescent="0.25">
      <c r="B2" s="132" t="s">
        <v>32</v>
      </c>
      <c r="C2" s="132"/>
      <c r="D2" s="132"/>
      <c r="E2" s="132"/>
      <c r="F2" s="132"/>
      <c r="G2" s="30"/>
      <c r="H2" s="30"/>
    </row>
    <row r="3" spans="2:21" x14ac:dyDescent="0.25">
      <c r="B3" s="32"/>
    </row>
    <row r="4" spans="2:21" ht="13.9" customHeight="1" x14ac:dyDescent="0.25">
      <c r="B4" s="33" t="s">
        <v>33</v>
      </c>
      <c r="C4" s="128" t="s">
        <v>34</v>
      </c>
      <c r="D4" s="128"/>
      <c r="E4" s="128"/>
      <c r="F4" s="128"/>
      <c r="G4" s="34"/>
      <c r="H4" s="34"/>
    </row>
    <row r="5" spans="2:21" x14ac:dyDescent="0.25">
      <c r="B5" s="32"/>
      <c r="C5" s="128"/>
      <c r="D5" s="128"/>
      <c r="E5" s="128"/>
      <c r="F5" s="128"/>
      <c r="G5" s="34"/>
      <c r="H5" s="34"/>
    </row>
    <row r="6" spans="2:21" x14ac:dyDescent="0.25">
      <c r="B6" s="32"/>
      <c r="C6" s="128"/>
      <c r="D6" s="128"/>
      <c r="E6" s="128"/>
      <c r="F6" s="128"/>
      <c r="G6" s="34"/>
      <c r="H6" s="34"/>
    </row>
    <row r="7" spans="2:21" ht="14.25" thickBot="1" x14ac:dyDescent="0.3"/>
    <row r="8" spans="2:21" ht="13.9" customHeight="1" x14ac:dyDescent="0.25">
      <c r="B8" s="127"/>
      <c r="C8" s="123" t="s">
        <v>35</v>
      </c>
      <c r="D8" s="125" t="s">
        <v>36</v>
      </c>
      <c r="E8" s="125" t="s">
        <v>37</v>
      </c>
      <c r="F8" s="125" t="s">
        <v>38</v>
      </c>
      <c r="G8" s="35"/>
      <c r="H8" s="35"/>
      <c r="I8" s="130" t="s">
        <v>39</v>
      </c>
      <c r="J8" s="131" t="s">
        <v>40</v>
      </c>
      <c r="K8" s="131" t="s">
        <v>41</v>
      </c>
      <c r="L8" s="131" t="s">
        <v>42</v>
      </c>
      <c r="M8" s="131" t="s">
        <v>43</v>
      </c>
    </row>
    <row r="9" spans="2:21" ht="14.25" thickBot="1" x14ac:dyDescent="0.3">
      <c r="B9" s="127"/>
      <c r="C9" s="124"/>
      <c r="D9" s="126"/>
      <c r="E9" s="126"/>
      <c r="F9" s="126"/>
      <c r="G9" s="35"/>
      <c r="H9" s="35"/>
      <c r="I9" s="130"/>
      <c r="J9" s="131"/>
      <c r="K9" s="131"/>
      <c r="L9" s="131"/>
      <c r="M9" s="131"/>
      <c r="O9" s="36" t="s">
        <v>44</v>
      </c>
      <c r="P9" s="36" t="s">
        <v>45</v>
      </c>
      <c r="Q9" s="36" t="s">
        <v>46</v>
      </c>
      <c r="S9" s="37" t="s">
        <v>45</v>
      </c>
      <c r="T9" s="37" t="s">
        <v>46</v>
      </c>
      <c r="U9" s="37" t="s">
        <v>47</v>
      </c>
    </row>
    <row r="10" spans="2:21" x14ac:dyDescent="0.25">
      <c r="B10" s="32"/>
      <c r="C10" s="38" t="s">
        <v>48</v>
      </c>
      <c r="D10" s="39" t="s">
        <v>49</v>
      </c>
      <c r="E10" s="39" t="s">
        <v>50</v>
      </c>
      <c r="F10" s="39" t="s">
        <v>51</v>
      </c>
    </row>
    <row r="11" spans="2:21" ht="14.25" thickBot="1" x14ac:dyDescent="0.3">
      <c r="B11" s="32"/>
      <c r="C11" s="40" t="s">
        <v>52</v>
      </c>
      <c r="D11" s="41">
        <v>75702006</v>
      </c>
      <c r="E11" s="41">
        <f>'[1]Income &amp; Exp'!E9</f>
        <v>76889280</v>
      </c>
      <c r="F11" s="41">
        <f>'[1]Income &amp; Exp'!F9</f>
        <v>99956064</v>
      </c>
      <c r="G11" s="42"/>
      <c r="H11" s="42"/>
      <c r="J11" s="43">
        <f>+E11-D11</f>
        <v>1187274</v>
      </c>
      <c r="K11" s="43">
        <f>+F11-E11</f>
        <v>23066784</v>
      </c>
      <c r="L11" s="43">
        <f>+J11/D11*100</f>
        <v>1.5683520988862567</v>
      </c>
      <c r="M11" s="43">
        <f>+K11/E11*100</f>
        <v>30</v>
      </c>
    </row>
    <row r="12" spans="2:21" ht="14.25" hidden="1" thickBot="1" x14ac:dyDescent="0.3">
      <c r="B12" s="32"/>
      <c r="C12" s="40" t="s">
        <v>53</v>
      </c>
      <c r="D12" s="41"/>
      <c r="E12" s="41"/>
      <c r="F12" s="41"/>
      <c r="G12" s="42"/>
      <c r="H12" s="42"/>
    </row>
    <row r="13" spans="2:21" ht="14.25" hidden="1" thickBot="1" x14ac:dyDescent="0.3">
      <c r="B13" s="32"/>
      <c r="C13" s="44" t="s">
        <v>54</v>
      </c>
      <c r="D13" s="45">
        <v>0</v>
      </c>
      <c r="E13" s="45">
        <v>0</v>
      </c>
      <c r="F13" s="45">
        <v>0</v>
      </c>
      <c r="G13" s="42"/>
      <c r="H13" s="42"/>
    </row>
    <row r="14" spans="2:21" ht="14.25" hidden="1" thickBot="1" x14ac:dyDescent="0.3">
      <c r="B14" s="32"/>
      <c r="C14" s="46" t="s">
        <v>55</v>
      </c>
      <c r="D14" s="47">
        <v>0</v>
      </c>
      <c r="E14" s="47">
        <v>0</v>
      </c>
      <c r="F14" s="47">
        <v>0</v>
      </c>
      <c r="G14" s="42"/>
      <c r="H14" s="42"/>
    </row>
    <row r="15" spans="2:21" ht="14.25" thickBot="1" x14ac:dyDescent="0.3">
      <c r="B15" s="32"/>
      <c r="C15" s="48" t="s">
        <v>56</v>
      </c>
      <c r="D15" s="49">
        <f>+D11+D14</f>
        <v>75702006</v>
      </c>
      <c r="E15" s="49">
        <f>+E11+E14</f>
        <v>76889280</v>
      </c>
      <c r="F15" s="49">
        <f>+F11+F14</f>
        <v>99956064</v>
      </c>
      <c r="G15" s="50"/>
      <c r="H15" s="50"/>
    </row>
    <row r="16" spans="2:21" x14ac:dyDescent="0.25">
      <c r="B16" s="32"/>
      <c r="C16" s="51"/>
      <c r="D16" s="51"/>
      <c r="E16" s="52"/>
      <c r="F16" s="52"/>
      <c r="G16" s="50"/>
      <c r="H16" s="50"/>
    </row>
    <row r="17" spans="2:13" x14ac:dyDescent="0.25">
      <c r="B17" s="32"/>
      <c r="C17" s="53" t="s">
        <v>57</v>
      </c>
      <c r="D17" s="54"/>
      <c r="E17" s="54"/>
      <c r="F17" s="54"/>
    </row>
    <row r="18" spans="2:13" x14ac:dyDescent="0.25">
      <c r="C18" s="40" t="s">
        <v>58</v>
      </c>
      <c r="D18" s="40">
        <v>58001090</v>
      </c>
      <c r="E18" s="55">
        <f>'[1]Income &amp; Exp'!E31+'[1]Income &amp; Exp'!E32</f>
        <v>63254641</v>
      </c>
      <c r="F18" s="55">
        <f>'[1]Income &amp; Exp'!F31+'[1]Income &amp; Exp'!F32</f>
        <v>83555300</v>
      </c>
      <c r="G18" s="56"/>
      <c r="H18" s="56"/>
      <c r="I18" s="31">
        <v>20</v>
      </c>
      <c r="J18" s="43">
        <f t="shared" ref="J18:K32" si="0">+E18-D18</f>
        <v>5253551</v>
      </c>
      <c r="K18" s="43">
        <f t="shared" si="0"/>
        <v>20300659</v>
      </c>
      <c r="L18" s="43">
        <f t="shared" ref="L18:M32" si="1">+J18/D18*100</f>
        <v>9.0576763298758696</v>
      </c>
      <c r="M18" s="43">
        <f t="shared" si="1"/>
        <v>32.093548677321557</v>
      </c>
    </row>
    <row r="19" spans="2:13" x14ac:dyDescent="0.25">
      <c r="C19" s="40" t="s">
        <v>59</v>
      </c>
      <c r="D19" s="40">
        <v>1684920</v>
      </c>
      <c r="E19" s="55">
        <f>'[1]Income &amp; Exp'!E39</f>
        <v>3426000</v>
      </c>
      <c r="F19" s="55">
        <v>4975470</v>
      </c>
      <c r="G19" s="56"/>
      <c r="H19" s="56"/>
      <c r="J19" s="43">
        <f t="shared" si="0"/>
        <v>1741080</v>
      </c>
      <c r="K19" s="43">
        <f t="shared" si="0"/>
        <v>1549470</v>
      </c>
      <c r="L19" s="43">
        <f t="shared" si="1"/>
        <v>103.33309593333809</v>
      </c>
      <c r="M19" s="43">
        <f t="shared" si="1"/>
        <v>45.226795096322242</v>
      </c>
    </row>
    <row r="20" spans="2:13" x14ac:dyDescent="0.25">
      <c r="C20" s="40" t="s">
        <v>60</v>
      </c>
      <c r="D20" s="40">
        <v>0</v>
      </c>
      <c r="E20" s="55">
        <f>'[1]Income &amp; Exp'!E38</f>
        <v>450000</v>
      </c>
      <c r="F20" s="55">
        <v>363086</v>
      </c>
      <c r="G20" s="56"/>
      <c r="H20" s="56"/>
      <c r="J20" s="43">
        <f t="shared" si="0"/>
        <v>450000</v>
      </c>
      <c r="K20" s="43">
        <f t="shared" si="0"/>
        <v>-86914</v>
      </c>
      <c r="L20" s="43" t="e">
        <f t="shared" si="1"/>
        <v>#DIV/0!</v>
      </c>
      <c r="M20" s="43">
        <f t="shared" si="1"/>
        <v>-19.31422222222222</v>
      </c>
    </row>
    <row r="21" spans="2:13" x14ac:dyDescent="0.25">
      <c r="C21" s="40" t="s">
        <v>61</v>
      </c>
      <c r="D21" s="40">
        <v>0</v>
      </c>
      <c r="E21" s="55">
        <f>'[1]Income &amp; Exp'!E37</f>
        <v>2288899</v>
      </c>
      <c r="F21" s="55">
        <f>'[2]IE 19'!$J$23</f>
        <v>22105861</v>
      </c>
      <c r="G21" s="56"/>
      <c r="H21" s="56"/>
      <c r="J21" s="43">
        <f t="shared" si="0"/>
        <v>2288899</v>
      </c>
      <c r="K21" s="43">
        <f t="shared" si="0"/>
        <v>19816962</v>
      </c>
      <c r="L21" s="43" t="e">
        <f t="shared" si="1"/>
        <v>#DIV/0!</v>
      </c>
      <c r="M21" s="43">
        <f t="shared" si="1"/>
        <v>865.78577735409044</v>
      </c>
    </row>
    <row r="22" spans="2:13" x14ac:dyDescent="0.25">
      <c r="C22" s="40" t="s">
        <v>62</v>
      </c>
      <c r="D22" s="40">
        <v>893592</v>
      </c>
      <c r="E22" s="55">
        <f>'[1]Income &amp; Exp'!E41+'[1]Income &amp; Exp'!E43</f>
        <v>775000</v>
      </c>
      <c r="F22" s="55">
        <f>'[1]Income &amp; Exp'!F41+'[1]Income &amp; Exp'!F43</f>
        <v>930000</v>
      </c>
      <c r="G22" s="56"/>
      <c r="H22" s="56"/>
      <c r="J22" s="43">
        <f t="shared" si="0"/>
        <v>-118592</v>
      </c>
      <c r="K22" s="43">
        <f t="shared" si="0"/>
        <v>155000</v>
      </c>
      <c r="L22" s="43">
        <f t="shared" si="1"/>
        <v>-13.271381122480951</v>
      </c>
      <c r="M22" s="43">
        <f t="shared" si="1"/>
        <v>20</v>
      </c>
    </row>
    <row r="23" spans="2:13" x14ac:dyDescent="0.25">
      <c r="C23" s="40" t="s">
        <v>63</v>
      </c>
      <c r="D23" s="40">
        <v>0</v>
      </c>
      <c r="E23" s="55">
        <f>'[1]Income &amp; Exp'!E42</f>
        <v>71000</v>
      </c>
      <c r="F23" s="55">
        <f>'[1]Income &amp; Exp'!F42</f>
        <v>92000</v>
      </c>
      <c r="G23" s="56"/>
      <c r="H23" s="56"/>
      <c r="J23" s="43">
        <f t="shared" si="0"/>
        <v>71000</v>
      </c>
      <c r="K23" s="43">
        <f t="shared" si="0"/>
        <v>21000</v>
      </c>
      <c r="L23" s="43" t="e">
        <f t="shared" si="1"/>
        <v>#DIV/0!</v>
      </c>
      <c r="M23" s="43">
        <f t="shared" si="1"/>
        <v>29.577464788732392</v>
      </c>
    </row>
    <row r="24" spans="2:13" x14ac:dyDescent="0.25">
      <c r="C24" s="40" t="s">
        <v>64</v>
      </c>
      <c r="D24" s="57">
        <v>3071559</v>
      </c>
      <c r="E24" s="55">
        <f>'[1]Income &amp; Exp'!E97</f>
        <v>3100000</v>
      </c>
      <c r="F24" s="55">
        <f>'[1]Income &amp; Exp'!F97</f>
        <v>3200000</v>
      </c>
      <c r="G24" s="56"/>
      <c r="H24" s="56"/>
      <c r="J24" s="43">
        <f t="shared" si="0"/>
        <v>28441</v>
      </c>
      <c r="K24" s="43">
        <f t="shared" si="0"/>
        <v>100000</v>
      </c>
      <c r="L24" s="43">
        <f t="shared" si="1"/>
        <v>0.92594672607623685</v>
      </c>
      <c r="M24" s="43">
        <f t="shared" si="1"/>
        <v>3.225806451612903</v>
      </c>
    </row>
    <row r="25" spans="2:13" x14ac:dyDescent="0.25">
      <c r="C25" s="44" t="s">
        <v>65</v>
      </c>
      <c r="D25" s="58">
        <v>0</v>
      </c>
      <c r="E25" s="59">
        <f>'[1]Income &amp; Exp'!E77</f>
        <v>20000</v>
      </c>
      <c r="F25" s="59">
        <f>'[1]Income &amp; Exp'!F77</f>
        <v>25000</v>
      </c>
      <c r="G25" s="56"/>
      <c r="H25" s="56"/>
      <c r="J25" s="43">
        <f t="shared" si="0"/>
        <v>20000</v>
      </c>
      <c r="K25" s="43">
        <f t="shared" si="0"/>
        <v>5000</v>
      </c>
      <c r="L25" s="43" t="e">
        <f t="shared" si="1"/>
        <v>#DIV/0!</v>
      </c>
      <c r="M25" s="43">
        <f t="shared" si="1"/>
        <v>25</v>
      </c>
    </row>
    <row r="26" spans="2:13" x14ac:dyDescent="0.25">
      <c r="C26" s="59" t="s">
        <v>66</v>
      </c>
      <c r="D26" s="44">
        <f>810816.92+41602</f>
        <v>852418.92</v>
      </c>
      <c r="E26" s="59">
        <f>'[1]Income &amp; Exp'!E35</f>
        <v>720000</v>
      </c>
      <c r="F26" s="59">
        <f>'[1]Income &amp; Exp'!F35</f>
        <v>800000</v>
      </c>
      <c r="G26" s="56"/>
      <c r="H26" s="56"/>
      <c r="J26" s="43">
        <f t="shared" si="0"/>
        <v>-132418.92000000004</v>
      </c>
      <c r="K26" s="43">
        <f t="shared" si="0"/>
        <v>80000</v>
      </c>
      <c r="L26" s="43">
        <f t="shared" si="1"/>
        <v>-15.534488605672905</v>
      </c>
      <c r="M26" s="43">
        <f t="shared" si="1"/>
        <v>11.111111111111111</v>
      </c>
    </row>
    <row r="27" spans="2:13" x14ac:dyDescent="0.25">
      <c r="C27" s="40" t="s">
        <v>67</v>
      </c>
      <c r="D27" s="60">
        <v>499395</v>
      </c>
      <c r="E27" s="61">
        <f>'[1]Income &amp; Exp'!E57</f>
        <v>470000</v>
      </c>
      <c r="F27" s="61">
        <f>'[1]Income &amp; Exp'!F57</f>
        <v>500000</v>
      </c>
      <c r="G27" s="56"/>
      <c r="H27" s="56"/>
      <c r="J27" s="43">
        <f t="shared" si="0"/>
        <v>-29395</v>
      </c>
      <c r="K27" s="43">
        <f t="shared" si="0"/>
        <v>30000</v>
      </c>
      <c r="L27" s="43">
        <f t="shared" si="1"/>
        <v>-5.8861222078715247</v>
      </c>
      <c r="M27" s="43">
        <f t="shared" si="1"/>
        <v>6.3829787234042552</v>
      </c>
    </row>
    <row r="28" spans="2:13" x14ac:dyDescent="0.25">
      <c r="C28" s="40" t="s">
        <v>68</v>
      </c>
      <c r="D28" s="40">
        <v>1771800</v>
      </c>
      <c r="E28" s="55">
        <f>'[1]Income &amp; Exp'!E98</f>
        <v>1200000</v>
      </c>
      <c r="F28" s="55">
        <f>'[1]Income &amp; Exp'!F98</f>
        <v>1350000</v>
      </c>
      <c r="G28" s="56"/>
      <c r="H28" s="56"/>
      <c r="J28" s="43">
        <f t="shared" si="0"/>
        <v>-571800</v>
      </c>
      <c r="K28" s="43">
        <f t="shared" si="0"/>
        <v>150000</v>
      </c>
      <c r="L28" s="43">
        <f t="shared" si="1"/>
        <v>-32.272265492719271</v>
      </c>
      <c r="M28" s="43">
        <f t="shared" si="1"/>
        <v>12.5</v>
      </c>
    </row>
    <row r="29" spans="2:13" x14ac:dyDescent="0.25">
      <c r="C29" s="40" t="s">
        <v>69</v>
      </c>
      <c r="D29" s="40">
        <v>879970</v>
      </c>
      <c r="E29" s="55">
        <f>'[1]Income &amp; Exp'!E78</f>
        <v>650000</v>
      </c>
      <c r="F29" s="55">
        <f>'[1]Income &amp; Exp'!F78</f>
        <v>750000</v>
      </c>
      <c r="G29" s="56"/>
      <c r="H29" s="56"/>
      <c r="J29" s="43">
        <f t="shared" si="0"/>
        <v>-229970</v>
      </c>
      <c r="K29" s="43">
        <f t="shared" si="0"/>
        <v>100000</v>
      </c>
      <c r="L29" s="43">
        <f t="shared" si="1"/>
        <v>-26.13384547200473</v>
      </c>
      <c r="M29" s="43">
        <f t="shared" si="1"/>
        <v>15.384615384615385</v>
      </c>
    </row>
    <row r="30" spans="2:13" x14ac:dyDescent="0.25">
      <c r="C30" s="62" t="s">
        <v>70</v>
      </c>
      <c r="D30" s="62">
        <v>1415100</v>
      </c>
      <c r="E30" s="63">
        <f>'[1]Income &amp; Exp'!E69</f>
        <v>500000</v>
      </c>
      <c r="F30" s="63">
        <f>'[1]Income &amp; Exp'!F69</f>
        <v>700000</v>
      </c>
      <c r="G30" s="56"/>
      <c r="H30" s="56"/>
      <c r="J30" s="43">
        <f t="shared" si="0"/>
        <v>-915100</v>
      </c>
      <c r="K30" s="43">
        <f t="shared" si="0"/>
        <v>200000</v>
      </c>
      <c r="L30" s="43">
        <f t="shared" si="1"/>
        <v>-64.666807999434667</v>
      </c>
      <c r="M30" s="43">
        <f t="shared" si="1"/>
        <v>40</v>
      </c>
    </row>
    <row r="31" spans="2:13" x14ac:dyDescent="0.25">
      <c r="C31" s="62" t="s">
        <v>71</v>
      </c>
      <c r="D31" s="62">
        <v>2372266</v>
      </c>
      <c r="E31" s="63">
        <f>'[1]Income &amp; Exp'!E75</f>
        <v>2500000</v>
      </c>
      <c r="F31" s="63">
        <f>'[1]Income &amp; Exp'!F75</f>
        <v>2650000</v>
      </c>
      <c r="G31" s="56"/>
      <c r="H31" s="56"/>
      <c r="J31" s="43">
        <f t="shared" si="0"/>
        <v>127734</v>
      </c>
      <c r="K31" s="43">
        <f t="shared" si="0"/>
        <v>150000</v>
      </c>
      <c r="L31" s="43">
        <f t="shared" si="1"/>
        <v>5.3844720617333808</v>
      </c>
      <c r="M31" s="43">
        <f t="shared" si="1"/>
        <v>6</v>
      </c>
    </row>
    <row r="32" spans="2:13" ht="14.25" thickBot="1" x14ac:dyDescent="0.3">
      <c r="C32" s="62" t="s">
        <v>72</v>
      </c>
      <c r="D32" s="62">
        <v>505385</v>
      </c>
      <c r="E32" s="63">
        <f>'[1]Income &amp; Exp'!E101</f>
        <v>650000</v>
      </c>
      <c r="F32" s="63">
        <f>'[1]Income &amp; Exp'!F101</f>
        <v>720000</v>
      </c>
      <c r="G32" s="56"/>
      <c r="H32" s="56"/>
      <c r="J32" s="43">
        <f t="shared" si="0"/>
        <v>144615</v>
      </c>
      <c r="K32" s="43">
        <f t="shared" si="0"/>
        <v>70000</v>
      </c>
      <c r="L32" s="43">
        <f t="shared" si="1"/>
        <v>28.61481840576986</v>
      </c>
      <c r="M32" s="43">
        <f t="shared" si="1"/>
        <v>10.76923076923077</v>
      </c>
    </row>
    <row r="33" spans="2:8" ht="14.25" hidden="1" thickBot="1" x14ac:dyDescent="0.3">
      <c r="C33" s="62" t="s">
        <v>73</v>
      </c>
      <c r="D33" s="62">
        <v>0</v>
      </c>
      <c r="E33" s="63">
        <v>0</v>
      </c>
      <c r="F33" s="63">
        <v>0</v>
      </c>
      <c r="G33" s="56"/>
      <c r="H33" s="56"/>
    </row>
    <row r="34" spans="2:8" ht="14.25" thickBot="1" x14ac:dyDescent="0.3">
      <c r="C34" s="48" t="s">
        <v>74</v>
      </c>
      <c r="D34" s="48">
        <f>SUM(D18:D33)</f>
        <v>71947495.920000002</v>
      </c>
      <c r="E34" s="64">
        <f>SUM(E18:E33)</f>
        <v>80075540</v>
      </c>
      <c r="F34" s="64">
        <f>SUM(F18:F33)</f>
        <v>122716717</v>
      </c>
      <c r="G34" s="50"/>
      <c r="H34" s="50"/>
    </row>
    <row r="35" spans="2:8" ht="14.25" thickBot="1" x14ac:dyDescent="0.3">
      <c r="C35" s="65"/>
      <c r="D35" s="66"/>
      <c r="E35" s="67"/>
      <c r="F35" s="67"/>
      <c r="G35" s="56"/>
      <c r="H35" s="56"/>
    </row>
    <row r="36" spans="2:8" ht="13.9" customHeight="1" thickBot="1" x14ac:dyDescent="0.3">
      <c r="C36" s="68" t="s">
        <v>75</v>
      </c>
      <c r="D36" s="69">
        <f>D15-D34</f>
        <v>3754510.0799999982</v>
      </c>
      <c r="E36" s="69">
        <f>E15-E34</f>
        <v>-3186260</v>
      </c>
      <c r="F36" s="69">
        <f>F15-F34</f>
        <v>-22760653</v>
      </c>
      <c r="G36" s="50"/>
      <c r="H36" s="50"/>
    </row>
    <row r="38" spans="2:8" ht="12.75" customHeight="1" x14ac:dyDescent="0.25">
      <c r="B38" s="33" t="s">
        <v>76</v>
      </c>
      <c r="C38" s="128" t="s">
        <v>77</v>
      </c>
      <c r="D38" s="128"/>
      <c r="E38" s="128"/>
      <c r="F38" s="128"/>
      <c r="G38" s="34"/>
      <c r="H38" s="34"/>
    </row>
    <row r="39" spans="2:8" x14ac:dyDescent="0.25">
      <c r="C39" s="128"/>
      <c r="D39" s="128"/>
      <c r="E39" s="128"/>
      <c r="F39" s="128"/>
      <c r="G39" s="34"/>
      <c r="H39" s="34"/>
    </row>
    <row r="40" spans="2:8" x14ac:dyDescent="0.25">
      <c r="C40" s="128"/>
      <c r="D40" s="128"/>
      <c r="E40" s="128"/>
      <c r="F40" s="128"/>
      <c r="G40" s="34"/>
      <c r="H40" s="34"/>
    </row>
    <row r="41" spans="2:8" ht="14.25" thickBot="1" x14ac:dyDescent="0.3"/>
    <row r="42" spans="2:8" ht="12.75" customHeight="1" x14ac:dyDescent="0.25">
      <c r="B42" s="127"/>
      <c r="C42" s="123" t="s">
        <v>35</v>
      </c>
      <c r="D42" s="125" t="s">
        <v>36</v>
      </c>
      <c r="E42" s="125" t="s">
        <v>37</v>
      </c>
      <c r="F42" s="125" t="s">
        <v>38</v>
      </c>
      <c r="G42" s="35"/>
      <c r="H42" s="35"/>
    </row>
    <row r="43" spans="2:8" ht="14.25" thickBot="1" x14ac:dyDescent="0.3">
      <c r="B43" s="127"/>
      <c r="C43" s="124"/>
      <c r="D43" s="126"/>
      <c r="E43" s="126"/>
      <c r="F43" s="126"/>
      <c r="G43" s="35"/>
      <c r="H43" s="35"/>
    </row>
    <row r="44" spans="2:8" x14ac:dyDescent="0.25">
      <c r="C44" s="53" t="s">
        <v>48</v>
      </c>
      <c r="D44" s="54"/>
      <c r="E44" s="54"/>
      <c r="F44" s="54"/>
    </row>
    <row r="45" spans="2:8" ht="14.25" thickBot="1" x14ac:dyDescent="0.3">
      <c r="C45" s="38" t="s">
        <v>78</v>
      </c>
      <c r="D45" s="70">
        <v>9061998</v>
      </c>
      <c r="E45" s="70">
        <f>'[1]Income &amp; Exp'!E11</f>
        <v>9124800</v>
      </c>
      <c r="F45" s="70">
        <f>'[1]Income &amp; Exp'!F11</f>
        <v>10037280</v>
      </c>
      <c r="G45" s="42"/>
      <c r="H45" s="42"/>
    </row>
    <row r="46" spans="2:8" ht="14.25" thickBot="1" x14ac:dyDescent="0.3">
      <c r="C46" s="48" t="s">
        <v>56</v>
      </c>
      <c r="D46" s="48">
        <f t="shared" ref="D46:F46" si="2">SUM(D40:D45)</f>
        <v>9061998</v>
      </c>
      <c r="E46" s="64">
        <f t="shared" si="2"/>
        <v>9124800</v>
      </c>
      <c r="F46" s="64">
        <f t="shared" si="2"/>
        <v>10037280</v>
      </c>
      <c r="G46" s="50"/>
      <c r="H46" s="50"/>
    </row>
    <row r="47" spans="2:8" x14ac:dyDescent="0.25">
      <c r="C47" s="71"/>
      <c r="D47" s="72"/>
      <c r="E47" s="72"/>
      <c r="F47" s="72"/>
    </row>
    <row r="48" spans="2:8" x14ac:dyDescent="0.25">
      <c r="C48" s="38" t="s">
        <v>57</v>
      </c>
      <c r="D48" s="39"/>
      <c r="E48" s="39"/>
      <c r="F48" s="39"/>
    </row>
    <row r="49" spans="3:8" x14ac:dyDescent="0.25">
      <c r="C49" s="73" t="s">
        <v>79</v>
      </c>
      <c r="D49" s="60">
        <v>3588868</v>
      </c>
      <c r="E49" s="61">
        <f>'[1]Income &amp; Exp'!E113</f>
        <v>2500000</v>
      </c>
      <c r="F49" s="61">
        <f>'[1]Income &amp; Exp'!F113</f>
        <v>2700000</v>
      </c>
      <c r="G49" s="56"/>
      <c r="H49" s="56"/>
    </row>
    <row r="50" spans="3:8" x14ac:dyDescent="0.25">
      <c r="C50" s="73" t="s">
        <v>80</v>
      </c>
      <c r="D50" s="60">
        <v>5389859</v>
      </c>
      <c r="E50" s="61">
        <v>4916012</v>
      </c>
      <c r="F50" s="61">
        <f>'[1]Income &amp; Exp'!F112</f>
        <v>5000000</v>
      </c>
      <c r="G50" s="56"/>
      <c r="H50" s="56"/>
    </row>
    <row r="51" spans="3:8" x14ac:dyDescent="0.25">
      <c r="C51" s="40" t="s">
        <v>81</v>
      </c>
      <c r="D51" s="60">
        <v>726297</v>
      </c>
      <c r="E51" s="61">
        <f>'[1]Income &amp; Exp'!E65</f>
        <v>800000</v>
      </c>
      <c r="F51" s="61">
        <f>'[1]Income &amp; Exp'!F65</f>
        <v>1000000</v>
      </c>
      <c r="G51" s="56"/>
      <c r="H51" s="56"/>
    </row>
    <row r="52" spans="3:8" x14ac:dyDescent="0.25">
      <c r="C52" s="40" t="s">
        <v>82</v>
      </c>
      <c r="D52" s="60">
        <v>119855</v>
      </c>
      <c r="E52" s="61">
        <f>'[1]Income &amp; Exp'!E80</f>
        <v>75000</v>
      </c>
      <c r="F52" s="61">
        <f>'[1]Income &amp; Exp'!F80</f>
        <v>125000</v>
      </c>
      <c r="G52" s="56"/>
      <c r="H52" s="56"/>
    </row>
    <row r="53" spans="3:8" x14ac:dyDescent="0.25">
      <c r="C53" s="40" t="s">
        <v>83</v>
      </c>
      <c r="D53" s="40">
        <v>1614272</v>
      </c>
      <c r="E53" s="55">
        <f>'[1]Income &amp; Exp'!E54</f>
        <v>1650000</v>
      </c>
      <c r="F53" s="55">
        <f>'[1]Income &amp; Exp'!F54</f>
        <v>1700000</v>
      </c>
      <c r="G53" s="56"/>
      <c r="H53" s="56"/>
    </row>
    <row r="54" spans="3:8" x14ac:dyDescent="0.25">
      <c r="C54" s="44" t="s">
        <v>84</v>
      </c>
      <c r="D54" s="44">
        <v>0</v>
      </c>
      <c r="E54" s="59">
        <f>'[1]Income &amp; Exp'!E55</f>
        <v>500000</v>
      </c>
      <c r="F54" s="59">
        <f>'[1]Income &amp; Exp'!F55</f>
        <v>550000</v>
      </c>
      <c r="G54" s="56"/>
      <c r="H54" s="56"/>
    </row>
    <row r="55" spans="3:8" x14ac:dyDescent="0.25">
      <c r="C55" s="59" t="s">
        <v>85</v>
      </c>
      <c r="D55" s="44">
        <v>295580.17</v>
      </c>
      <c r="E55" s="59">
        <f>'[1]Income &amp; Exp'!E52</f>
        <v>250000</v>
      </c>
      <c r="F55" s="59">
        <f>'[1]Income &amp; Exp'!F52</f>
        <v>275000</v>
      </c>
      <c r="G55" s="56"/>
      <c r="H55" s="56"/>
    </row>
    <row r="56" spans="3:8" x14ac:dyDescent="0.25">
      <c r="C56" s="40" t="s">
        <v>86</v>
      </c>
      <c r="D56" s="40">
        <v>470387</v>
      </c>
      <c r="E56" s="55">
        <f>'[1]Income &amp; Exp'!E102</f>
        <v>500000</v>
      </c>
      <c r="F56" s="55">
        <f>'[1]Income &amp; Exp'!F102</f>
        <v>620000</v>
      </c>
      <c r="G56" s="56"/>
      <c r="H56" s="56"/>
    </row>
    <row r="57" spans="3:8" x14ac:dyDescent="0.25">
      <c r="C57" s="59" t="s">
        <v>87</v>
      </c>
      <c r="D57" s="44">
        <v>1396053</v>
      </c>
      <c r="E57" s="59">
        <f>'[1]Income &amp; Exp'!E53</f>
        <v>1400000</v>
      </c>
      <c r="F57" s="59">
        <f>'[1]Income &amp; Exp'!F53</f>
        <v>1500000</v>
      </c>
      <c r="G57" s="56"/>
      <c r="H57" s="56"/>
    </row>
    <row r="58" spans="3:8" x14ac:dyDescent="0.25">
      <c r="C58" s="62" t="s">
        <v>88</v>
      </c>
      <c r="D58" s="74">
        <v>1023444</v>
      </c>
      <c r="E58" s="75">
        <f>'[1]Income &amp; Exp'!E73</f>
        <v>800000</v>
      </c>
      <c r="F58" s="75">
        <f>'[1]Income &amp; Exp'!F73</f>
        <v>900000</v>
      </c>
      <c r="G58" s="56"/>
      <c r="H58" s="56"/>
    </row>
    <row r="59" spans="3:8" x14ac:dyDescent="0.25">
      <c r="C59" s="62" t="s">
        <v>89</v>
      </c>
      <c r="D59" s="74">
        <v>34500</v>
      </c>
      <c r="E59" s="75">
        <f>'[1]Income &amp; Exp'!E70</f>
        <v>50000</v>
      </c>
      <c r="F59" s="75">
        <f>'[1]Income &amp; Exp'!F70</f>
        <v>50000</v>
      </c>
      <c r="G59" s="56"/>
      <c r="H59" s="56"/>
    </row>
    <row r="60" spans="3:8" x14ac:dyDescent="0.25">
      <c r="C60" s="57" t="s">
        <v>90</v>
      </c>
      <c r="D60" s="57">
        <v>32050</v>
      </c>
      <c r="E60" s="55">
        <f>'[1]Income &amp; Exp'!E50</f>
        <v>30000</v>
      </c>
      <c r="F60" s="55">
        <f>'[1]Income &amp; Exp'!F50</f>
        <v>35000</v>
      </c>
      <c r="G60" s="56"/>
      <c r="H60" s="56"/>
    </row>
    <row r="61" spans="3:8" hidden="1" x14ac:dyDescent="0.25">
      <c r="C61" s="40" t="s">
        <v>91</v>
      </c>
      <c r="D61" s="40">
        <v>0</v>
      </c>
      <c r="E61" s="55">
        <v>0</v>
      </c>
      <c r="F61" s="55">
        <v>0</v>
      </c>
      <c r="G61" s="56"/>
      <c r="H61" s="56"/>
    </row>
    <row r="62" spans="3:8" hidden="1" x14ac:dyDescent="0.25">
      <c r="C62" s="40" t="s">
        <v>92</v>
      </c>
      <c r="D62" s="40">
        <v>0</v>
      </c>
      <c r="E62" s="55">
        <v>0</v>
      </c>
      <c r="F62" s="55">
        <v>0</v>
      </c>
      <c r="G62" s="56"/>
      <c r="H62" s="56"/>
    </row>
    <row r="63" spans="3:8" hidden="1" x14ac:dyDescent="0.25">
      <c r="C63" s="59" t="s">
        <v>90</v>
      </c>
      <c r="D63" s="44">
        <v>0</v>
      </c>
      <c r="E63" s="59">
        <v>0</v>
      </c>
      <c r="F63" s="59">
        <v>0</v>
      </c>
      <c r="G63" s="56"/>
      <c r="H63" s="56"/>
    </row>
    <row r="64" spans="3:8" x14ac:dyDescent="0.25">
      <c r="C64" s="44" t="s">
        <v>93</v>
      </c>
      <c r="D64" s="44">
        <f>4095+215</f>
        <v>4310</v>
      </c>
      <c r="E64" s="59">
        <f>'[1]Income &amp; Exp'!E81</f>
        <v>6000</v>
      </c>
      <c r="F64" s="59">
        <f>'[1]Income &amp; Exp'!F81</f>
        <v>8000</v>
      </c>
      <c r="G64" s="56"/>
      <c r="H64" s="56"/>
    </row>
    <row r="65" spans="3:8" x14ac:dyDescent="0.25">
      <c r="C65" s="59" t="s">
        <v>94</v>
      </c>
      <c r="D65" s="76">
        <v>520000</v>
      </c>
      <c r="E65" s="77">
        <f>'[1]Income &amp; Exp'!E61</f>
        <v>600000</v>
      </c>
      <c r="F65" s="77">
        <f>'[1]Income &amp; Exp'!F61</f>
        <v>600000</v>
      </c>
      <c r="G65" s="56"/>
      <c r="H65" s="56"/>
    </row>
    <row r="66" spans="3:8" x14ac:dyDescent="0.25">
      <c r="C66" s="59" t="s">
        <v>95</v>
      </c>
      <c r="D66" s="76">
        <v>20000</v>
      </c>
      <c r="E66" s="77">
        <f>'[1]Income &amp; Exp'!E58</f>
        <v>25000</v>
      </c>
      <c r="F66" s="77">
        <f>'[1]Income &amp; Exp'!F58</f>
        <v>25000</v>
      </c>
      <c r="G66" s="56"/>
      <c r="H66" s="56"/>
    </row>
    <row r="67" spans="3:8" x14ac:dyDescent="0.25">
      <c r="C67" s="59" t="s">
        <v>96</v>
      </c>
      <c r="D67" s="76">
        <v>237260</v>
      </c>
      <c r="E67" s="77">
        <f>'[1]Income &amp; Exp'!E76</f>
        <v>250000</v>
      </c>
      <c r="F67" s="77">
        <f>'[1]Income &amp; Exp'!F76</f>
        <v>275000</v>
      </c>
      <c r="G67" s="56"/>
      <c r="H67" s="56"/>
    </row>
    <row r="68" spans="3:8" hidden="1" x14ac:dyDescent="0.25">
      <c r="C68" s="59" t="s">
        <v>97</v>
      </c>
      <c r="D68" s="76">
        <v>0</v>
      </c>
      <c r="E68" s="77">
        <v>0</v>
      </c>
      <c r="F68" s="77">
        <v>0</v>
      </c>
      <c r="G68" s="56"/>
      <c r="H68" s="56"/>
    </row>
    <row r="69" spans="3:8" hidden="1" x14ac:dyDescent="0.25">
      <c r="C69" s="59" t="s">
        <v>98</v>
      </c>
      <c r="D69" s="76">
        <v>0</v>
      </c>
      <c r="E69" s="77">
        <v>0</v>
      </c>
      <c r="F69" s="77">
        <v>0</v>
      </c>
      <c r="G69" s="56"/>
      <c r="H69" s="56"/>
    </row>
    <row r="70" spans="3:8" hidden="1" x14ac:dyDescent="0.25">
      <c r="C70" s="59" t="s">
        <v>99</v>
      </c>
      <c r="D70" s="76">
        <v>0</v>
      </c>
      <c r="E70" s="77">
        <v>0</v>
      </c>
      <c r="F70" s="77">
        <v>0</v>
      </c>
      <c r="G70" s="56"/>
      <c r="H70" s="56"/>
    </row>
    <row r="71" spans="3:8" ht="18" hidden="1" customHeight="1" x14ac:dyDescent="0.25">
      <c r="C71" s="40" t="s">
        <v>100</v>
      </c>
      <c r="D71" s="60">
        <v>0</v>
      </c>
      <c r="E71" s="61">
        <v>0</v>
      </c>
      <c r="F71" s="61">
        <v>0</v>
      </c>
      <c r="G71" s="56"/>
      <c r="H71" s="56"/>
    </row>
    <row r="72" spans="3:8" x14ac:dyDescent="0.25">
      <c r="C72" s="40" t="s">
        <v>101</v>
      </c>
      <c r="D72" s="60">
        <v>636949</v>
      </c>
      <c r="E72" s="61">
        <f>'[1]Income &amp; Exp'!E74</f>
        <v>650000</v>
      </c>
      <c r="F72" s="61">
        <f>'[1]Income &amp; Exp'!F74</f>
        <v>710000</v>
      </c>
      <c r="G72" s="56"/>
      <c r="H72" s="56"/>
    </row>
    <row r="73" spans="3:8" hidden="1" x14ac:dyDescent="0.25">
      <c r="C73" s="40" t="s">
        <v>102</v>
      </c>
      <c r="D73" s="60">
        <v>0</v>
      </c>
      <c r="E73" s="61">
        <v>0</v>
      </c>
      <c r="F73" s="61">
        <v>0</v>
      </c>
      <c r="G73" s="56"/>
      <c r="H73" s="56"/>
    </row>
    <row r="74" spans="3:8" hidden="1" x14ac:dyDescent="0.25">
      <c r="C74" s="40" t="s">
        <v>103</v>
      </c>
      <c r="D74" s="60">
        <v>0</v>
      </c>
      <c r="E74" s="61">
        <v>0</v>
      </c>
      <c r="F74" s="61">
        <v>0</v>
      </c>
      <c r="G74" s="56"/>
      <c r="H74" s="56"/>
    </row>
    <row r="75" spans="3:8" hidden="1" x14ac:dyDescent="0.25">
      <c r="C75" s="40" t="s">
        <v>104</v>
      </c>
      <c r="D75" s="60">
        <v>0</v>
      </c>
      <c r="E75" s="61">
        <v>0</v>
      </c>
      <c r="F75" s="61">
        <v>0</v>
      </c>
      <c r="G75" s="56"/>
      <c r="H75" s="56"/>
    </row>
    <row r="76" spans="3:8" ht="14.25" thickBot="1" x14ac:dyDescent="0.3">
      <c r="C76" s="55" t="s">
        <v>105</v>
      </c>
      <c r="D76" s="61">
        <v>349048</v>
      </c>
      <c r="E76" s="61">
        <f>'[1]Income &amp; Exp'!E51</f>
        <v>349063</v>
      </c>
      <c r="F76" s="61">
        <f>'[1]Income &amp; Exp'!F51</f>
        <v>349063</v>
      </c>
      <c r="G76" s="56"/>
      <c r="H76" s="56"/>
    </row>
    <row r="77" spans="3:8" ht="14.25" hidden="1" thickBot="1" x14ac:dyDescent="0.3">
      <c r="C77" s="55" t="s">
        <v>106</v>
      </c>
      <c r="D77" s="61">
        <v>0</v>
      </c>
      <c r="E77" s="61">
        <v>0</v>
      </c>
      <c r="F77" s="61">
        <v>0</v>
      </c>
      <c r="G77" s="56"/>
      <c r="H77" s="56"/>
    </row>
    <row r="78" spans="3:8" ht="14.25" hidden="1" thickBot="1" x14ac:dyDescent="0.3">
      <c r="C78" s="55" t="s">
        <v>107</v>
      </c>
      <c r="D78" s="61">
        <v>0</v>
      </c>
      <c r="E78" s="61">
        <v>0</v>
      </c>
      <c r="F78" s="61">
        <v>0</v>
      </c>
      <c r="G78" s="56"/>
      <c r="H78" s="56"/>
    </row>
    <row r="79" spans="3:8" ht="14.25" hidden="1" thickBot="1" x14ac:dyDescent="0.3">
      <c r="C79" s="55" t="s">
        <v>108</v>
      </c>
      <c r="D79" s="61">
        <v>0</v>
      </c>
      <c r="E79" s="61">
        <v>0</v>
      </c>
      <c r="F79" s="61">
        <v>0</v>
      </c>
      <c r="G79" s="56"/>
      <c r="H79" s="56"/>
    </row>
    <row r="80" spans="3:8" ht="14.25" thickBot="1" x14ac:dyDescent="0.3">
      <c r="C80" s="48" t="s">
        <v>109</v>
      </c>
      <c r="D80" s="78">
        <f t="shared" ref="D80:F80" si="3">SUM(D49:D79)</f>
        <v>16458732.17</v>
      </c>
      <c r="E80" s="78">
        <f t="shared" si="3"/>
        <v>15351075</v>
      </c>
      <c r="F80" s="78">
        <f t="shared" si="3"/>
        <v>16422063</v>
      </c>
      <c r="G80" s="42"/>
      <c r="H80" s="42"/>
    </row>
    <row r="81" spans="2:8" ht="14.25" thickBot="1" x14ac:dyDescent="0.3">
      <c r="C81" s="46"/>
      <c r="D81" s="79"/>
      <c r="E81" s="79"/>
      <c r="F81" s="79"/>
    </row>
    <row r="82" spans="2:8" ht="13.9" customHeight="1" thickBot="1" x14ac:dyDescent="0.3">
      <c r="C82" s="48" t="s">
        <v>110</v>
      </c>
      <c r="D82" s="78">
        <f t="shared" ref="D82:F82" si="4">D46-D80</f>
        <v>-7396734.1699999999</v>
      </c>
      <c r="E82" s="78">
        <f t="shared" si="4"/>
        <v>-6226275</v>
      </c>
      <c r="F82" s="78">
        <f t="shared" si="4"/>
        <v>-6384783</v>
      </c>
      <c r="G82" s="42"/>
      <c r="H82" s="42"/>
    </row>
    <row r="83" spans="2:8" ht="12.75" customHeight="1" x14ac:dyDescent="0.25"/>
    <row r="85" spans="2:8" ht="12.75" customHeight="1" x14ac:dyDescent="0.25">
      <c r="B85" s="33" t="s">
        <v>111</v>
      </c>
      <c r="C85" s="128" t="s">
        <v>112</v>
      </c>
      <c r="D85" s="128"/>
      <c r="E85" s="128"/>
      <c r="F85" s="128"/>
      <c r="G85" s="34"/>
      <c r="H85" s="34"/>
    </row>
    <row r="86" spans="2:8" x14ac:dyDescent="0.25">
      <c r="C86" s="128"/>
      <c r="D86" s="128"/>
      <c r="E86" s="128"/>
      <c r="F86" s="128"/>
      <c r="G86" s="34"/>
      <c r="H86" s="34"/>
    </row>
    <row r="87" spans="2:8" s="81" customFormat="1" hidden="1" x14ac:dyDescent="0.25">
      <c r="B87" s="31"/>
      <c r="C87" s="80"/>
      <c r="D87" s="80"/>
      <c r="E87" s="80"/>
      <c r="F87" s="80"/>
      <c r="G87" s="80"/>
      <c r="H87" s="80"/>
    </row>
    <row r="88" spans="2:8" hidden="1" x14ac:dyDescent="0.25">
      <c r="C88" s="82" t="s">
        <v>113</v>
      </c>
    </row>
    <row r="89" spans="2:8" ht="12.75" hidden="1" customHeight="1" x14ac:dyDescent="0.25">
      <c r="B89" s="129"/>
      <c r="C89" s="123" t="s">
        <v>35</v>
      </c>
      <c r="D89" s="123" t="s">
        <v>114</v>
      </c>
      <c r="E89" s="123" t="s">
        <v>115</v>
      </c>
      <c r="F89" s="123" t="s">
        <v>116</v>
      </c>
      <c r="G89" s="35"/>
      <c r="H89" s="35"/>
    </row>
    <row r="90" spans="2:8" ht="13.5" hidden="1" customHeight="1" thickBot="1" x14ac:dyDescent="0.3">
      <c r="B90" s="129"/>
      <c r="C90" s="124"/>
      <c r="D90" s="124"/>
      <c r="E90" s="124"/>
      <c r="F90" s="124"/>
      <c r="G90" s="35"/>
      <c r="H90" s="35"/>
    </row>
    <row r="91" spans="2:8" hidden="1" x14ac:dyDescent="0.25">
      <c r="C91" s="51" t="s">
        <v>48</v>
      </c>
      <c r="D91" s="83"/>
      <c r="E91" s="83"/>
      <c r="F91" s="83"/>
    </row>
    <row r="92" spans="2:8" ht="14.25" hidden="1" thickBot="1" x14ac:dyDescent="0.3">
      <c r="C92" s="68" t="s">
        <v>117</v>
      </c>
      <c r="D92" s="84">
        <v>0</v>
      </c>
      <c r="E92" s="84">
        <v>0</v>
      </c>
      <c r="F92" s="84">
        <v>0</v>
      </c>
      <c r="G92" s="42"/>
      <c r="H92" s="42"/>
    </row>
    <row r="93" spans="2:8" ht="14.25" hidden="1" thickBot="1" x14ac:dyDescent="0.3">
      <c r="C93" s="48" t="s">
        <v>56</v>
      </c>
      <c r="D93" s="48">
        <f>SUM(D86:D92)</f>
        <v>0</v>
      </c>
      <c r="E93" s="64">
        <f>SUM(E86:E92)</f>
        <v>0</v>
      </c>
      <c r="F93" s="64">
        <f>SUM(F86:F92)</f>
        <v>0</v>
      </c>
      <c r="G93" s="50"/>
      <c r="H93" s="50"/>
    </row>
    <row r="94" spans="2:8" hidden="1" x14ac:dyDescent="0.25">
      <c r="C94" s="85"/>
      <c r="D94" s="85"/>
      <c r="E94" s="86"/>
      <c r="F94" s="86"/>
      <c r="G94" s="50"/>
      <c r="H94" s="50"/>
    </row>
    <row r="95" spans="2:8" hidden="1" x14ac:dyDescent="0.25">
      <c r="C95" s="38" t="s">
        <v>118</v>
      </c>
      <c r="D95" s="87"/>
      <c r="E95" s="87"/>
      <c r="F95" s="87"/>
    </row>
    <row r="96" spans="2:8" hidden="1" x14ac:dyDescent="0.25">
      <c r="C96" s="40" t="s">
        <v>119</v>
      </c>
      <c r="D96" s="40">
        <v>0</v>
      </c>
      <c r="E96" s="55">
        <v>0</v>
      </c>
      <c r="F96" s="55">
        <v>0</v>
      </c>
      <c r="G96" s="56"/>
      <c r="H96" s="56"/>
    </row>
    <row r="97" spans="2:8" hidden="1" x14ac:dyDescent="0.25">
      <c r="C97" s="40" t="s">
        <v>120</v>
      </c>
      <c r="D97" s="40">
        <v>0</v>
      </c>
      <c r="E97" s="55">
        <v>0</v>
      </c>
      <c r="F97" s="55">
        <v>0</v>
      </c>
      <c r="G97" s="56"/>
      <c r="H97" s="56"/>
    </row>
    <row r="98" spans="2:8" hidden="1" x14ac:dyDescent="0.25">
      <c r="C98" s="40" t="s">
        <v>121</v>
      </c>
      <c r="D98" s="40">
        <v>0</v>
      </c>
      <c r="E98" s="55">
        <v>0</v>
      </c>
      <c r="F98" s="55">
        <v>0</v>
      </c>
      <c r="G98" s="56"/>
      <c r="H98" s="56"/>
    </row>
    <row r="99" spans="2:8" hidden="1" x14ac:dyDescent="0.25">
      <c r="C99" s="40" t="s">
        <v>122</v>
      </c>
      <c r="D99" s="40">
        <v>0</v>
      </c>
      <c r="E99" s="55">
        <v>0</v>
      </c>
      <c r="F99" s="55">
        <v>0</v>
      </c>
      <c r="G99" s="56"/>
      <c r="H99" s="56"/>
    </row>
    <row r="100" spans="2:8" hidden="1" x14ac:dyDescent="0.25">
      <c r="C100" s="40" t="s">
        <v>123</v>
      </c>
      <c r="D100" s="40">
        <v>0</v>
      </c>
      <c r="E100" s="55">
        <v>0</v>
      </c>
      <c r="F100" s="55">
        <v>0</v>
      </c>
      <c r="G100" s="56"/>
      <c r="H100" s="56"/>
    </row>
    <row r="101" spans="2:8" hidden="1" x14ac:dyDescent="0.25">
      <c r="C101" s="62"/>
      <c r="D101" s="62"/>
      <c r="E101" s="63"/>
      <c r="F101" s="63"/>
      <c r="G101" s="56"/>
      <c r="H101" s="56"/>
    </row>
    <row r="102" spans="2:8" ht="13.9" hidden="1" customHeight="1" thickBot="1" x14ac:dyDescent="0.3">
      <c r="C102" s="48" t="s">
        <v>109</v>
      </c>
      <c r="D102" s="48">
        <f t="shared" ref="D102:F102" si="5">SUM(D96:D101)</f>
        <v>0</v>
      </c>
      <c r="E102" s="64">
        <f t="shared" si="5"/>
        <v>0</v>
      </c>
      <c r="F102" s="64">
        <f t="shared" si="5"/>
        <v>0</v>
      </c>
      <c r="G102" s="50"/>
      <c r="H102" s="50"/>
    </row>
    <row r="103" spans="2:8" ht="12.75" hidden="1" customHeight="1" thickBot="1" x14ac:dyDescent="0.3">
      <c r="C103" s="46"/>
      <c r="D103" s="46"/>
      <c r="E103" s="88"/>
      <c r="F103" s="88"/>
      <c r="G103" s="56"/>
      <c r="H103" s="56"/>
    </row>
    <row r="104" spans="2:8" ht="14.25" hidden="1" thickBot="1" x14ac:dyDescent="0.3">
      <c r="C104" s="48" t="s">
        <v>124</v>
      </c>
      <c r="D104" s="48">
        <f t="shared" ref="D104:F104" si="6">D93-D102</f>
        <v>0</v>
      </c>
      <c r="E104" s="64">
        <f t="shared" si="6"/>
        <v>0</v>
      </c>
      <c r="F104" s="64">
        <f t="shared" si="6"/>
        <v>0</v>
      </c>
      <c r="G104" s="50"/>
      <c r="H104" s="50"/>
    </row>
    <row r="105" spans="2:8" hidden="1" x14ac:dyDescent="0.25"/>
    <row r="106" spans="2:8" hidden="1" x14ac:dyDescent="0.25"/>
    <row r="107" spans="2:8" ht="14.25" thickBot="1" x14ac:dyDescent="0.3">
      <c r="C107" s="82" t="s">
        <v>125</v>
      </c>
    </row>
    <row r="108" spans="2:8" ht="12.75" customHeight="1" x14ac:dyDescent="0.25">
      <c r="B108" s="127"/>
      <c r="C108" s="123" t="s">
        <v>35</v>
      </c>
      <c r="D108" s="125" t="s">
        <v>36</v>
      </c>
      <c r="E108" s="125" t="s">
        <v>37</v>
      </c>
      <c r="F108" s="125" t="s">
        <v>38</v>
      </c>
      <c r="G108" s="35"/>
      <c r="H108" s="35"/>
    </row>
    <row r="109" spans="2:8" ht="14.25" thickBot="1" x14ac:dyDescent="0.3">
      <c r="B109" s="127"/>
      <c r="C109" s="124"/>
      <c r="D109" s="126"/>
      <c r="E109" s="126"/>
      <c r="F109" s="126"/>
      <c r="G109" s="35"/>
      <c r="H109" s="35"/>
    </row>
    <row r="110" spans="2:8" x14ac:dyDescent="0.25">
      <c r="C110" s="38" t="s">
        <v>48</v>
      </c>
      <c r="D110" s="87"/>
      <c r="E110" s="87"/>
      <c r="F110" s="87"/>
    </row>
    <row r="111" spans="2:8" ht="14.25" thickBot="1" x14ac:dyDescent="0.3">
      <c r="C111" s="89" t="s">
        <v>126</v>
      </c>
      <c r="D111" s="70">
        <v>2915895</v>
      </c>
      <c r="E111" s="70">
        <f>'[1]Income &amp; Exp'!E15</f>
        <v>2755800</v>
      </c>
      <c r="F111" s="70">
        <f>'[1]Income &amp; Exp'!F15</f>
        <v>2755800</v>
      </c>
      <c r="G111" s="42"/>
      <c r="H111" s="42"/>
    </row>
    <row r="112" spans="2:8" ht="14.25" thickBot="1" x14ac:dyDescent="0.3">
      <c r="C112" s="48"/>
      <c r="D112" s="90">
        <f>D111</f>
        <v>2915895</v>
      </c>
      <c r="E112" s="49">
        <f>E111</f>
        <v>2755800</v>
      </c>
      <c r="F112" s="49">
        <f>F111</f>
        <v>2755800</v>
      </c>
      <c r="G112" s="50"/>
      <c r="H112" s="50"/>
    </row>
    <row r="113" spans="2:8" x14ac:dyDescent="0.25">
      <c r="C113" s="85"/>
      <c r="D113" s="85"/>
      <c r="E113" s="86"/>
      <c r="F113" s="86"/>
      <c r="G113" s="50"/>
      <c r="H113" s="50"/>
    </row>
    <row r="114" spans="2:8" x14ac:dyDescent="0.25">
      <c r="C114" s="38" t="s">
        <v>118</v>
      </c>
      <c r="D114" s="87"/>
      <c r="E114" s="87"/>
      <c r="F114" s="87"/>
    </row>
    <row r="115" spans="2:8" x14ac:dyDescent="0.25">
      <c r="C115" s="40" t="s">
        <v>127</v>
      </c>
      <c r="D115" s="40">
        <v>2515760</v>
      </c>
      <c r="E115" s="55">
        <f>'[1]Income &amp; Exp'!E100</f>
        <v>3200000</v>
      </c>
      <c r="F115" s="55">
        <f>'[1]Income &amp; Exp'!F100</f>
        <v>3200000</v>
      </c>
      <c r="G115" s="56"/>
      <c r="H115" s="56"/>
    </row>
    <row r="116" spans="2:8" x14ac:dyDescent="0.25">
      <c r="B116" s="81"/>
      <c r="C116" s="91"/>
      <c r="D116" s="91">
        <v>0</v>
      </c>
      <c r="E116" s="92">
        <v>0</v>
      </c>
      <c r="F116" s="92">
        <v>0</v>
      </c>
      <c r="G116" s="93"/>
      <c r="H116" s="93"/>
    </row>
    <row r="117" spans="2:8" ht="13.9" customHeight="1" thickBot="1" x14ac:dyDescent="0.3">
      <c r="C117" s="62"/>
      <c r="D117" s="62"/>
      <c r="E117" s="63"/>
      <c r="F117" s="63"/>
      <c r="G117" s="56"/>
      <c r="H117" s="56"/>
    </row>
    <row r="118" spans="2:8" ht="12.75" customHeight="1" thickBot="1" x14ac:dyDescent="0.3">
      <c r="C118" s="48" t="s">
        <v>109</v>
      </c>
      <c r="D118" s="48">
        <f>SUM(D115:D117)</f>
        <v>2515760</v>
      </c>
      <c r="E118" s="64">
        <f>SUM(E115:E117)</f>
        <v>3200000</v>
      </c>
      <c r="F118" s="64">
        <f>SUM(F115:F117)</f>
        <v>3200000</v>
      </c>
      <c r="G118" s="50"/>
      <c r="H118" s="50"/>
    </row>
    <row r="119" spans="2:8" ht="14.25" thickBot="1" x14ac:dyDescent="0.3">
      <c r="C119" s="46"/>
      <c r="D119" s="46"/>
      <c r="E119" s="88"/>
      <c r="F119" s="88"/>
      <c r="G119" s="56"/>
      <c r="H119" s="56"/>
    </row>
    <row r="120" spans="2:8" ht="14.25" thickBot="1" x14ac:dyDescent="0.3">
      <c r="C120" s="48" t="s">
        <v>128</v>
      </c>
      <c r="D120" s="48">
        <f t="shared" ref="D120:F120" si="7">D112-D118</f>
        <v>400135</v>
      </c>
      <c r="E120" s="64">
        <f t="shared" si="7"/>
        <v>-444200</v>
      </c>
      <c r="F120" s="64">
        <f t="shared" si="7"/>
        <v>-444200</v>
      </c>
      <c r="G120" s="50"/>
      <c r="H120" s="50"/>
    </row>
    <row r="122" spans="2:8" ht="14.25" thickBot="1" x14ac:dyDescent="0.3">
      <c r="C122" s="82" t="s">
        <v>129</v>
      </c>
    </row>
    <row r="123" spans="2:8" ht="12.75" customHeight="1" x14ac:dyDescent="0.25">
      <c r="B123" s="127"/>
      <c r="C123" s="123" t="s">
        <v>35</v>
      </c>
      <c r="D123" s="125" t="s">
        <v>36</v>
      </c>
      <c r="E123" s="125" t="s">
        <v>37</v>
      </c>
      <c r="F123" s="125" t="s">
        <v>38</v>
      </c>
      <c r="G123" s="35"/>
      <c r="H123" s="35"/>
    </row>
    <row r="124" spans="2:8" ht="14.25" thickBot="1" x14ac:dyDescent="0.3">
      <c r="B124" s="127"/>
      <c r="C124" s="124"/>
      <c r="D124" s="126"/>
      <c r="E124" s="126"/>
      <c r="F124" s="126"/>
      <c r="G124" s="35"/>
      <c r="H124" s="35"/>
    </row>
    <row r="125" spans="2:8" x14ac:dyDescent="0.25">
      <c r="C125" s="38" t="s">
        <v>48</v>
      </c>
      <c r="D125" s="87"/>
      <c r="E125" s="87"/>
      <c r="F125" s="87"/>
    </row>
    <row r="126" spans="2:8" ht="14.25" thickBot="1" x14ac:dyDescent="0.3">
      <c r="C126" s="89" t="s">
        <v>130</v>
      </c>
      <c r="D126" s="70">
        <v>976200</v>
      </c>
      <c r="E126" s="70">
        <f>'[1]Income &amp; Exp'!E14</f>
        <v>1270800</v>
      </c>
      <c r="F126" s="70">
        <f>'[1]Income &amp; Exp'!F14</f>
        <v>1270800</v>
      </c>
      <c r="G126" s="42"/>
      <c r="H126" s="42"/>
    </row>
    <row r="127" spans="2:8" ht="14.25" thickBot="1" x14ac:dyDescent="0.3">
      <c r="C127" s="48"/>
      <c r="D127" s="90">
        <f t="shared" ref="D127:F127" si="8">D126</f>
        <v>976200</v>
      </c>
      <c r="E127" s="49">
        <f t="shared" si="8"/>
        <v>1270800</v>
      </c>
      <c r="F127" s="49">
        <f t="shared" si="8"/>
        <v>1270800</v>
      </c>
      <c r="G127" s="50"/>
      <c r="H127" s="50"/>
    </row>
    <row r="128" spans="2:8" x14ac:dyDescent="0.25">
      <c r="C128" s="85"/>
      <c r="D128" s="85"/>
      <c r="E128" s="86"/>
      <c r="F128" s="86"/>
      <c r="G128" s="50"/>
      <c r="H128" s="50"/>
    </row>
    <row r="129" spans="2:8" x14ac:dyDescent="0.25">
      <c r="C129" s="38" t="s">
        <v>118</v>
      </c>
      <c r="D129" s="87"/>
      <c r="E129" s="87"/>
      <c r="F129" s="87"/>
    </row>
    <row r="130" spans="2:8" x14ac:dyDescent="0.25">
      <c r="C130" s="40" t="s">
        <v>131</v>
      </c>
      <c r="D130" s="40">
        <v>1226312</v>
      </c>
      <c r="E130" s="55">
        <f>'[1]Income &amp; Exp'!E66+'[1]Income &amp; Exp'!E67</f>
        <v>1325000</v>
      </c>
      <c r="F130" s="55">
        <f>'[1]Income &amp; Exp'!F66+'[1]Income &amp; Exp'!F67</f>
        <v>1420000</v>
      </c>
      <c r="G130" s="56"/>
      <c r="H130" s="56"/>
    </row>
    <row r="131" spans="2:8" x14ac:dyDescent="0.25">
      <c r="C131" s="40" t="s">
        <v>132</v>
      </c>
      <c r="D131" s="40">
        <v>994104</v>
      </c>
      <c r="E131" s="55">
        <f>'[1]Income &amp; Exp'!E96</f>
        <v>800000</v>
      </c>
      <c r="F131" s="55">
        <f>'[1]Income &amp; Exp'!F96</f>
        <v>800000</v>
      </c>
      <c r="G131" s="56"/>
      <c r="H131" s="56"/>
    </row>
    <row r="132" spans="2:8" ht="13.9" customHeight="1" thickBot="1" x14ac:dyDescent="0.3">
      <c r="C132" s="62"/>
      <c r="D132" s="62"/>
      <c r="E132" s="63"/>
      <c r="F132" s="63"/>
      <c r="G132" s="56"/>
      <c r="H132" s="56"/>
    </row>
    <row r="133" spans="2:8" ht="12.75" customHeight="1" thickBot="1" x14ac:dyDescent="0.3">
      <c r="C133" s="48" t="s">
        <v>109</v>
      </c>
      <c r="D133" s="48">
        <f t="shared" ref="D133:F133" si="9">SUM(D130:D132)</f>
        <v>2220416</v>
      </c>
      <c r="E133" s="64">
        <f t="shared" si="9"/>
        <v>2125000</v>
      </c>
      <c r="F133" s="64">
        <f t="shared" si="9"/>
        <v>2220000</v>
      </c>
      <c r="G133" s="50"/>
      <c r="H133" s="50"/>
    </row>
    <row r="134" spans="2:8" ht="14.25" thickBot="1" x14ac:dyDescent="0.3">
      <c r="C134" s="46"/>
      <c r="D134" s="46"/>
      <c r="E134" s="88"/>
      <c r="F134" s="88"/>
      <c r="G134" s="56"/>
      <c r="H134" s="56"/>
    </row>
    <row r="135" spans="2:8" ht="14.25" thickBot="1" x14ac:dyDescent="0.3">
      <c r="C135" s="48" t="s">
        <v>133</v>
      </c>
      <c r="D135" s="48">
        <f t="shared" ref="D135:F135" si="10">D126-D133</f>
        <v>-1244216</v>
      </c>
      <c r="E135" s="64">
        <f t="shared" si="10"/>
        <v>-854200</v>
      </c>
      <c r="F135" s="64">
        <f t="shared" si="10"/>
        <v>-949200</v>
      </c>
      <c r="G135" s="50"/>
      <c r="H135" s="50"/>
    </row>
    <row r="136" spans="2:8" x14ac:dyDescent="0.25">
      <c r="C136" s="94"/>
      <c r="D136" s="94"/>
      <c r="E136" s="50"/>
      <c r="F136" s="50"/>
      <c r="G136" s="50"/>
      <c r="H136" s="50"/>
    </row>
    <row r="137" spans="2:8" ht="14.25" thickBot="1" x14ac:dyDescent="0.3">
      <c r="C137" s="82" t="s">
        <v>13</v>
      </c>
    </row>
    <row r="138" spans="2:8" ht="12.75" customHeight="1" x14ac:dyDescent="0.25">
      <c r="B138" s="127"/>
      <c r="C138" s="123" t="s">
        <v>35</v>
      </c>
      <c r="D138" s="125" t="s">
        <v>36</v>
      </c>
      <c r="E138" s="125" t="s">
        <v>37</v>
      </c>
      <c r="F138" s="125" t="s">
        <v>38</v>
      </c>
      <c r="G138" s="35"/>
      <c r="H138" s="35"/>
    </row>
    <row r="139" spans="2:8" ht="14.25" thickBot="1" x14ac:dyDescent="0.3">
      <c r="B139" s="127"/>
      <c r="C139" s="124"/>
      <c r="D139" s="126"/>
      <c r="E139" s="126"/>
      <c r="F139" s="126"/>
      <c r="G139" s="35"/>
      <c r="H139" s="35"/>
    </row>
    <row r="140" spans="2:8" x14ac:dyDescent="0.25">
      <c r="C140" s="38" t="s">
        <v>48</v>
      </c>
      <c r="D140" s="39"/>
      <c r="E140" s="39"/>
      <c r="F140" s="39"/>
    </row>
    <row r="141" spans="2:8" ht="14.25" thickBot="1" x14ac:dyDescent="0.3">
      <c r="C141" s="38" t="s">
        <v>134</v>
      </c>
      <c r="D141" s="41">
        <v>1615848</v>
      </c>
      <c r="E141" s="41">
        <f>'[1]Income &amp; Exp'!E12</f>
        <v>1613100</v>
      </c>
      <c r="F141" s="41">
        <f>'[1]Income &amp; Exp'!F12</f>
        <v>1613100</v>
      </c>
      <c r="G141" s="42"/>
      <c r="H141" s="42"/>
    </row>
    <row r="142" spans="2:8" ht="14.25" thickBot="1" x14ac:dyDescent="0.3">
      <c r="C142" s="48" t="s">
        <v>56</v>
      </c>
      <c r="D142" s="90">
        <f t="shared" ref="D142:F142" si="11">D141</f>
        <v>1615848</v>
      </c>
      <c r="E142" s="49">
        <f t="shared" si="11"/>
        <v>1613100</v>
      </c>
      <c r="F142" s="49">
        <f t="shared" si="11"/>
        <v>1613100</v>
      </c>
      <c r="G142" s="50"/>
      <c r="H142" s="50"/>
    </row>
    <row r="143" spans="2:8" x14ac:dyDescent="0.25">
      <c r="C143" s="85"/>
      <c r="D143" s="95"/>
      <c r="E143" s="96"/>
      <c r="F143" s="96"/>
      <c r="G143" s="50"/>
      <c r="H143" s="50"/>
    </row>
    <row r="144" spans="2:8" x14ac:dyDescent="0.25">
      <c r="C144" s="38" t="s">
        <v>118</v>
      </c>
      <c r="D144" s="39"/>
      <c r="E144" s="39"/>
      <c r="F144" s="39"/>
    </row>
    <row r="145" spans="3:8" x14ac:dyDescent="0.25">
      <c r="C145" s="40" t="s">
        <v>135</v>
      </c>
      <c r="D145" s="60">
        <v>1338640</v>
      </c>
      <c r="E145" s="61">
        <f>'[1]Income &amp; Exp'!E68</f>
        <v>1350000</v>
      </c>
      <c r="F145" s="61">
        <f>'[1]Income &amp; Exp'!F68</f>
        <v>1400000</v>
      </c>
      <c r="G145" s="56"/>
      <c r="H145" s="56"/>
    </row>
    <row r="146" spans="3:8" ht="13.9" customHeight="1" thickBot="1" x14ac:dyDescent="0.3">
      <c r="C146" s="62"/>
      <c r="D146" s="74"/>
      <c r="E146" s="75"/>
      <c r="F146" s="75"/>
      <c r="G146" s="56"/>
      <c r="H146" s="56"/>
    </row>
    <row r="147" spans="3:8" ht="14.25" thickBot="1" x14ac:dyDescent="0.3">
      <c r="C147" s="48" t="s">
        <v>109</v>
      </c>
      <c r="D147" s="48">
        <f t="shared" ref="D147:F147" si="12">SUM(D145:D146)</f>
        <v>1338640</v>
      </c>
      <c r="E147" s="64">
        <f t="shared" si="12"/>
        <v>1350000</v>
      </c>
      <c r="F147" s="64">
        <f t="shared" si="12"/>
        <v>1400000</v>
      </c>
      <c r="G147" s="50"/>
      <c r="H147" s="50"/>
    </row>
    <row r="148" spans="3:8" ht="14.25" thickBot="1" x14ac:dyDescent="0.3">
      <c r="C148" s="46"/>
      <c r="D148" s="97"/>
      <c r="E148" s="98"/>
      <c r="F148" s="98"/>
      <c r="G148" s="56"/>
      <c r="H148" s="56"/>
    </row>
    <row r="149" spans="3:8" ht="14.25" thickBot="1" x14ac:dyDescent="0.3">
      <c r="C149" s="48" t="s">
        <v>136</v>
      </c>
      <c r="D149" s="90">
        <f t="shared" ref="D149:F149" si="13">D141-D147</f>
        <v>277208</v>
      </c>
      <c r="E149" s="49">
        <f t="shared" si="13"/>
        <v>263100</v>
      </c>
      <c r="F149" s="49">
        <f t="shared" si="13"/>
        <v>213100</v>
      </c>
      <c r="G149" s="50"/>
      <c r="H149" s="50"/>
    </row>
    <row r="150" spans="3:8" x14ac:dyDescent="0.25">
      <c r="C150" s="99"/>
    </row>
    <row r="151" spans="3:8" ht="14.25" thickBot="1" x14ac:dyDescent="0.3">
      <c r="C151" s="82" t="s">
        <v>137</v>
      </c>
    </row>
    <row r="152" spans="3:8" ht="12.75" customHeight="1" x14ac:dyDescent="0.25">
      <c r="C152" s="123" t="s">
        <v>35</v>
      </c>
      <c r="D152" s="125" t="s">
        <v>36</v>
      </c>
      <c r="E152" s="125" t="s">
        <v>37</v>
      </c>
      <c r="F152" s="125" t="s">
        <v>38</v>
      </c>
      <c r="G152" s="35"/>
      <c r="H152" s="35"/>
    </row>
    <row r="153" spans="3:8" ht="14.25" thickBot="1" x14ac:dyDescent="0.3">
      <c r="C153" s="124"/>
      <c r="D153" s="126"/>
      <c r="E153" s="126"/>
      <c r="F153" s="126"/>
      <c r="G153" s="35"/>
      <c r="H153" s="35"/>
    </row>
    <row r="154" spans="3:8" x14ac:dyDescent="0.25">
      <c r="C154" s="38" t="s">
        <v>48</v>
      </c>
      <c r="D154" s="39"/>
      <c r="E154" s="39"/>
      <c r="F154" s="39"/>
    </row>
    <row r="155" spans="3:8" ht="14.25" thickBot="1" x14ac:dyDescent="0.3">
      <c r="C155" s="38" t="s">
        <v>138</v>
      </c>
      <c r="D155" s="41">
        <v>4698830</v>
      </c>
      <c r="E155" s="41">
        <f>'[1]Income &amp; Exp'!E16</f>
        <v>5855000</v>
      </c>
      <c r="F155" s="41">
        <f>'[1]Income &amp; Exp'!F16</f>
        <v>5855000</v>
      </c>
      <c r="G155" s="42"/>
      <c r="H155" s="42"/>
    </row>
    <row r="156" spans="3:8" ht="14.25" thickBot="1" x14ac:dyDescent="0.3">
      <c r="C156" s="48" t="s">
        <v>56</v>
      </c>
      <c r="D156" s="90">
        <f t="shared" ref="D156:F156" si="14">D155</f>
        <v>4698830</v>
      </c>
      <c r="E156" s="49">
        <f t="shared" si="14"/>
        <v>5855000</v>
      </c>
      <c r="F156" s="49">
        <f t="shared" si="14"/>
        <v>5855000</v>
      </c>
      <c r="G156" s="50"/>
      <c r="H156" s="50"/>
    </row>
    <row r="157" spans="3:8" x14ac:dyDescent="0.25">
      <c r="C157" s="85"/>
      <c r="D157" s="95"/>
      <c r="E157" s="96"/>
      <c r="F157" s="96"/>
      <c r="G157" s="50"/>
      <c r="H157" s="50"/>
    </row>
    <row r="158" spans="3:8" x14ac:dyDescent="0.25">
      <c r="C158" s="38" t="s">
        <v>118</v>
      </c>
      <c r="D158" s="39"/>
      <c r="E158" s="39"/>
      <c r="F158" s="39"/>
    </row>
    <row r="159" spans="3:8" x14ac:dyDescent="0.25">
      <c r="C159" s="62" t="s">
        <v>139</v>
      </c>
      <c r="D159" s="74">
        <v>3154410</v>
      </c>
      <c r="E159" s="75">
        <f>'[1]Income &amp; Exp'!E62</f>
        <v>3200000</v>
      </c>
      <c r="F159" s="75">
        <f>'[1]Income &amp; Exp'!F62</f>
        <v>3450000</v>
      </c>
      <c r="G159" s="56"/>
      <c r="H159" s="56"/>
    </row>
    <row r="160" spans="3:8" ht="14.25" thickBot="1" x14ac:dyDescent="0.3">
      <c r="C160" s="62"/>
      <c r="D160" s="74"/>
      <c r="E160" s="75"/>
      <c r="F160" s="75"/>
      <c r="G160" s="56"/>
      <c r="H160" s="56"/>
    </row>
    <row r="161" spans="3:8" ht="14.25" thickBot="1" x14ac:dyDescent="0.3">
      <c r="C161" s="48" t="s">
        <v>109</v>
      </c>
      <c r="D161" s="48">
        <f>SUM(D159)</f>
        <v>3154410</v>
      </c>
      <c r="E161" s="64">
        <f>SUM(E159)</f>
        <v>3200000</v>
      </c>
      <c r="F161" s="64">
        <f>SUM(F159)</f>
        <v>3450000</v>
      </c>
      <c r="G161" s="50"/>
      <c r="H161" s="50"/>
    </row>
    <row r="162" spans="3:8" ht="14.25" thickBot="1" x14ac:dyDescent="0.3">
      <c r="C162" s="46"/>
      <c r="D162" s="97"/>
      <c r="E162" s="98"/>
      <c r="F162" s="98"/>
      <c r="G162" s="56"/>
      <c r="H162" s="56"/>
    </row>
    <row r="163" spans="3:8" ht="14.25" thickBot="1" x14ac:dyDescent="0.3">
      <c r="C163" s="48" t="s">
        <v>140</v>
      </c>
      <c r="D163" s="90">
        <f>D155-D161</f>
        <v>1544420</v>
      </c>
      <c r="E163" s="49">
        <f>E155-E161</f>
        <v>2655000</v>
      </c>
      <c r="F163" s="49">
        <f>F155-F161</f>
        <v>2405000</v>
      </c>
      <c r="G163" s="50"/>
      <c r="H163" s="50"/>
    </row>
    <row r="164" spans="3:8" x14ac:dyDescent="0.25">
      <c r="C164" s="99"/>
    </row>
    <row r="165" spans="3:8" x14ac:dyDescent="0.25">
      <c r="C165" s="99"/>
    </row>
    <row r="166" spans="3:8" x14ac:dyDescent="0.25">
      <c r="C166" s="99"/>
    </row>
    <row r="167" spans="3:8" x14ac:dyDescent="0.25">
      <c r="C167" s="99"/>
    </row>
    <row r="168" spans="3:8" x14ac:dyDescent="0.25">
      <c r="C168" s="99"/>
    </row>
    <row r="169" spans="3:8" x14ac:dyDescent="0.25">
      <c r="C169" s="99"/>
    </row>
    <row r="170" spans="3:8" x14ac:dyDescent="0.25">
      <c r="C170" s="99"/>
    </row>
    <row r="171" spans="3:8" x14ac:dyDescent="0.25">
      <c r="C171" s="99"/>
    </row>
    <row r="172" spans="3:8" ht="14.25" thickBot="1" x14ac:dyDescent="0.3">
      <c r="C172" s="82" t="s">
        <v>141</v>
      </c>
    </row>
    <row r="173" spans="3:8" ht="12.75" customHeight="1" x14ac:dyDescent="0.25">
      <c r="C173" s="123" t="s">
        <v>35</v>
      </c>
      <c r="D173" s="125" t="s">
        <v>36</v>
      </c>
      <c r="E173" s="125" t="s">
        <v>37</v>
      </c>
      <c r="F173" s="125" t="s">
        <v>38</v>
      </c>
      <c r="G173" s="35"/>
      <c r="H173" s="35"/>
    </row>
    <row r="174" spans="3:8" ht="14.25" thickBot="1" x14ac:dyDescent="0.3">
      <c r="C174" s="124"/>
      <c r="D174" s="126"/>
      <c r="E174" s="126"/>
      <c r="F174" s="126"/>
      <c r="G174" s="35"/>
      <c r="H174" s="35"/>
    </row>
    <row r="175" spans="3:8" x14ac:dyDescent="0.25">
      <c r="C175" s="38" t="s">
        <v>48</v>
      </c>
      <c r="D175" s="39"/>
      <c r="E175" s="39"/>
      <c r="F175" s="39"/>
    </row>
    <row r="176" spans="3:8" ht="14.25" thickBot="1" x14ac:dyDescent="0.3">
      <c r="C176" s="38" t="s">
        <v>142</v>
      </c>
      <c r="D176" s="41">
        <v>1042249</v>
      </c>
      <c r="E176" s="41">
        <f>'[1]Income &amp; Exp'!E19</f>
        <v>1042250</v>
      </c>
      <c r="F176" s="41">
        <f>'[1]Income &amp; Exp'!F19</f>
        <v>1042250</v>
      </c>
      <c r="G176" s="42"/>
      <c r="H176" s="42"/>
    </row>
    <row r="177" spans="3:8" ht="14.25" thickBot="1" x14ac:dyDescent="0.3">
      <c r="C177" s="48" t="s">
        <v>56</v>
      </c>
      <c r="D177" s="90">
        <f>D176</f>
        <v>1042249</v>
      </c>
      <c r="E177" s="49">
        <f>E176</f>
        <v>1042250</v>
      </c>
      <c r="F177" s="49">
        <f>F176</f>
        <v>1042250</v>
      </c>
      <c r="G177" s="50"/>
      <c r="H177" s="50"/>
    </row>
    <row r="178" spans="3:8" x14ac:dyDescent="0.25">
      <c r="C178" s="85"/>
      <c r="D178" s="95"/>
      <c r="E178" s="96"/>
      <c r="F178" s="96"/>
      <c r="G178" s="50"/>
      <c r="H178" s="50"/>
    </row>
    <row r="179" spans="3:8" x14ac:dyDescent="0.25">
      <c r="C179" s="38" t="s">
        <v>118</v>
      </c>
      <c r="D179" s="39"/>
      <c r="E179" s="39"/>
      <c r="F179" s="39"/>
    </row>
    <row r="180" spans="3:8" x14ac:dyDescent="0.25">
      <c r="C180" s="40" t="s">
        <v>135</v>
      </c>
      <c r="D180" s="60">
        <v>1096742</v>
      </c>
      <c r="E180" s="61">
        <f>'[1]Income &amp; Exp'!E56</f>
        <v>1140000</v>
      </c>
      <c r="F180" s="61">
        <f>'[1]Income &amp; Exp'!F56</f>
        <v>1250000</v>
      </c>
      <c r="G180" s="56"/>
      <c r="H180" s="56"/>
    </row>
    <row r="181" spans="3:8" ht="14.25" thickBot="1" x14ac:dyDescent="0.3">
      <c r="C181" s="62"/>
      <c r="D181" s="74"/>
      <c r="E181" s="75"/>
      <c r="F181" s="75"/>
      <c r="G181" s="56"/>
      <c r="H181" s="56"/>
    </row>
    <row r="182" spans="3:8" ht="14.25" thickBot="1" x14ac:dyDescent="0.3">
      <c r="C182" s="48" t="s">
        <v>109</v>
      </c>
      <c r="D182" s="48">
        <f t="shared" ref="D182:F182" si="15">SUM(D180:D181)</f>
        <v>1096742</v>
      </c>
      <c r="E182" s="64">
        <f t="shared" si="15"/>
        <v>1140000</v>
      </c>
      <c r="F182" s="64">
        <f t="shared" si="15"/>
        <v>1250000</v>
      </c>
      <c r="G182" s="50"/>
      <c r="H182" s="50"/>
    </row>
    <row r="183" spans="3:8" ht="14.25" thickBot="1" x14ac:dyDescent="0.3">
      <c r="C183" s="46"/>
      <c r="D183" s="97"/>
      <c r="E183" s="98"/>
      <c r="F183" s="98"/>
      <c r="G183" s="56"/>
      <c r="H183" s="56"/>
    </row>
    <row r="184" spans="3:8" ht="14.25" thickBot="1" x14ac:dyDescent="0.3">
      <c r="C184" s="48" t="s">
        <v>143</v>
      </c>
      <c r="D184" s="90">
        <f t="shared" ref="D184:F184" si="16">D176-D182</f>
        <v>-54493</v>
      </c>
      <c r="E184" s="49">
        <f t="shared" si="16"/>
        <v>-97750</v>
      </c>
      <c r="F184" s="49">
        <f t="shared" si="16"/>
        <v>-207750</v>
      </c>
      <c r="G184" s="50"/>
      <c r="H184" s="50"/>
    </row>
    <row r="185" spans="3:8" x14ac:dyDescent="0.25">
      <c r="C185" s="99"/>
    </row>
    <row r="186" spans="3:8" ht="14.25" thickBot="1" x14ac:dyDescent="0.3">
      <c r="C186" s="99"/>
    </row>
    <row r="187" spans="3:8" ht="14.25" hidden="1" thickBot="1" x14ac:dyDescent="0.3">
      <c r="C187" s="100" t="str">
        <f>C104</f>
        <v xml:space="preserve">Surplus/(Deficit) against Transport Fees (A-B) </v>
      </c>
      <c r="D187" s="101">
        <f>D104</f>
        <v>0</v>
      </c>
      <c r="E187" s="101">
        <f>E104</f>
        <v>0</v>
      </c>
      <c r="F187" s="101">
        <f>F104</f>
        <v>0</v>
      </c>
      <c r="G187" s="102"/>
      <c r="H187" s="102"/>
    </row>
    <row r="188" spans="3:8" x14ac:dyDescent="0.25">
      <c r="C188" s="71" t="str">
        <f>C120</f>
        <v xml:space="preserve">Surplus/(Deficit) against Smart Class Fees (A-B) </v>
      </c>
      <c r="D188" s="103">
        <f>D120</f>
        <v>400135</v>
      </c>
      <c r="E188" s="103">
        <f>E120</f>
        <v>-444200</v>
      </c>
      <c r="F188" s="103">
        <f>F120</f>
        <v>-444200</v>
      </c>
      <c r="G188" s="102"/>
      <c r="H188" s="102"/>
    </row>
    <row r="189" spans="3:8" x14ac:dyDescent="0.25">
      <c r="C189" s="40" t="str">
        <f>C135</f>
        <v xml:space="preserve">Surplus/(Deficit) against Technology Charges (A-B) </v>
      </c>
      <c r="D189" s="104">
        <f>D135</f>
        <v>-1244216</v>
      </c>
      <c r="E189" s="104">
        <f>E135</f>
        <v>-854200</v>
      </c>
      <c r="F189" s="104">
        <f>F135</f>
        <v>-949200</v>
      </c>
      <c r="G189" s="102"/>
      <c r="H189" s="102"/>
    </row>
    <row r="190" spans="3:8" x14ac:dyDescent="0.25">
      <c r="C190" s="105" t="str">
        <f>C149</f>
        <v xml:space="preserve">Surplus/(Deficit) against Examination Fees (A-B) </v>
      </c>
      <c r="D190" s="105">
        <f>D149</f>
        <v>277208</v>
      </c>
      <c r="E190" s="105">
        <f>E149</f>
        <v>263100</v>
      </c>
      <c r="F190" s="105">
        <f>F149</f>
        <v>213100</v>
      </c>
      <c r="G190" s="102"/>
      <c r="H190" s="102"/>
    </row>
    <row r="191" spans="3:8" x14ac:dyDescent="0.25">
      <c r="C191" s="105" t="str">
        <f>C163</f>
        <v xml:space="preserve">Surplus/(Deficit) against Activity Fees (A-B) </v>
      </c>
      <c r="D191" s="105">
        <f>D163</f>
        <v>1544420</v>
      </c>
      <c r="E191" s="105">
        <f>E163</f>
        <v>2655000</v>
      </c>
      <c r="F191" s="105">
        <f>F163</f>
        <v>2405000</v>
      </c>
      <c r="G191" s="102"/>
      <c r="H191" s="102"/>
    </row>
    <row r="192" spans="3:8" ht="14.25" thickBot="1" x14ac:dyDescent="0.3">
      <c r="C192" s="106" t="s">
        <v>144</v>
      </c>
      <c r="D192" s="106">
        <f>D176-D182</f>
        <v>-54493</v>
      </c>
      <c r="E192" s="106">
        <f>E176-E182</f>
        <v>-97750</v>
      </c>
      <c r="F192" s="106">
        <f>F176-F182</f>
        <v>-207750</v>
      </c>
      <c r="G192" s="102"/>
      <c r="H192" s="102"/>
    </row>
    <row r="193" spans="2:8" ht="14.25" thickBot="1" x14ac:dyDescent="0.3">
      <c r="D193" s="106">
        <f>SUM(D187:D192)</f>
        <v>923054</v>
      </c>
      <c r="E193" s="106">
        <f>SUM(E187:E192)</f>
        <v>1521950</v>
      </c>
      <c r="F193" s="106">
        <f>SUM(F187:F192)</f>
        <v>1016950</v>
      </c>
      <c r="G193" s="102"/>
      <c r="H193" s="102"/>
    </row>
    <row r="195" spans="2:8" ht="13.9" customHeight="1" x14ac:dyDescent="0.25"/>
    <row r="196" spans="2:8" ht="12.75" customHeight="1" x14ac:dyDescent="0.25"/>
    <row r="197" spans="2:8" ht="12.75" customHeight="1" x14ac:dyDescent="0.25">
      <c r="B197" s="33" t="s">
        <v>145</v>
      </c>
      <c r="C197" s="128" t="s">
        <v>146</v>
      </c>
      <c r="D197" s="128"/>
      <c r="E197" s="128"/>
      <c r="F197" s="128"/>
      <c r="G197" s="34"/>
      <c r="H197" s="34"/>
    </row>
    <row r="198" spans="2:8" x14ac:dyDescent="0.25">
      <c r="C198" s="128"/>
      <c r="D198" s="128"/>
      <c r="E198" s="128"/>
      <c r="F198" s="128"/>
      <c r="G198" s="34"/>
      <c r="H198" s="34"/>
    </row>
    <row r="199" spans="2:8" x14ac:dyDescent="0.25">
      <c r="C199" s="128"/>
      <c r="D199" s="128"/>
      <c r="E199" s="128"/>
      <c r="F199" s="128"/>
      <c r="G199" s="34"/>
      <c r="H199" s="34"/>
    </row>
    <row r="200" spans="2:8" ht="14.25" thickBot="1" x14ac:dyDescent="0.3"/>
    <row r="201" spans="2:8" ht="12.75" customHeight="1" x14ac:dyDescent="0.25">
      <c r="B201" s="127"/>
      <c r="C201" s="123" t="s">
        <v>35</v>
      </c>
      <c r="D201" s="125" t="s">
        <v>36</v>
      </c>
      <c r="E201" s="125" t="s">
        <v>37</v>
      </c>
      <c r="F201" s="125" t="s">
        <v>38</v>
      </c>
      <c r="G201" s="35"/>
      <c r="H201" s="35"/>
    </row>
    <row r="202" spans="2:8" ht="14.25" thickBot="1" x14ac:dyDescent="0.3">
      <c r="B202" s="127"/>
      <c r="C202" s="124"/>
      <c r="D202" s="126"/>
      <c r="E202" s="126"/>
      <c r="F202" s="126"/>
      <c r="G202" s="35"/>
      <c r="H202" s="35"/>
    </row>
    <row r="203" spans="2:8" x14ac:dyDescent="0.25">
      <c r="C203" s="38" t="s">
        <v>147</v>
      </c>
      <c r="D203" s="60">
        <v>0</v>
      </c>
      <c r="E203" s="61">
        <v>0</v>
      </c>
      <c r="F203" s="61">
        <v>0</v>
      </c>
      <c r="G203" s="56"/>
      <c r="H203" s="56"/>
    </row>
    <row r="204" spans="2:8" x14ac:dyDescent="0.25">
      <c r="C204" s="38" t="s">
        <v>148</v>
      </c>
      <c r="D204" s="60">
        <v>611692</v>
      </c>
      <c r="E204" s="61">
        <v>0</v>
      </c>
      <c r="F204" s="61">
        <v>0</v>
      </c>
      <c r="G204" s="56"/>
      <c r="H204" s="56"/>
    </row>
    <row r="205" spans="2:8" ht="14.25" thickBot="1" x14ac:dyDescent="0.3">
      <c r="C205" s="38" t="s">
        <v>149</v>
      </c>
      <c r="D205" s="41">
        <v>11335779</v>
      </c>
      <c r="E205" s="41">
        <v>11539278</v>
      </c>
      <c r="F205" s="41">
        <v>14984904</v>
      </c>
      <c r="G205" s="42"/>
      <c r="H205" s="42"/>
    </row>
    <row r="206" spans="2:8" ht="14.25" thickBot="1" x14ac:dyDescent="0.3">
      <c r="C206" s="48" t="s">
        <v>56</v>
      </c>
      <c r="D206" s="90">
        <f t="shared" ref="D206:F206" si="17">SUM(D203:D205)</f>
        <v>11947471</v>
      </c>
      <c r="E206" s="49">
        <f t="shared" si="17"/>
        <v>11539278</v>
      </c>
      <c r="F206" s="49">
        <f t="shared" si="17"/>
        <v>14984904</v>
      </c>
      <c r="G206" s="50"/>
      <c r="H206" s="50"/>
    </row>
    <row r="207" spans="2:8" x14ac:dyDescent="0.25">
      <c r="C207" s="107"/>
      <c r="D207" s="107"/>
      <c r="E207" s="108"/>
      <c r="F207" s="108"/>
      <c r="G207" s="50"/>
      <c r="H207" s="50"/>
    </row>
    <row r="208" spans="2:8" x14ac:dyDescent="0.25">
      <c r="C208" s="38" t="s">
        <v>150</v>
      </c>
      <c r="D208" s="87"/>
      <c r="E208" s="87"/>
      <c r="F208" s="87"/>
    </row>
    <row r="209" spans="3:10" x14ac:dyDescent="0.25">
      <c r="C209" s="40" t="s">
        <v>151</v>
      </c>
      <c r="D209" s="73">
        <v>118506</v>
      </c>
      <c r="E209" s="109">
        <f>'[3]DF 18-19'!$H$12</f>
        <v>500000</v>
      </c>
      <c r="F209" s="109">
        <v>1500000</v>
      </c>
      <c r="G209" s="110"/>
      <c r="H209" s="110"/>
    </row>
    <row r="210" spans="3:10" x14ac:dyDescent="0.25">
      <c r="C210" s="40" t="s">
        <v>152</v>
      </c>
      <c r="D210" s="73">
        <v>8565336</v>
      </c>
      <c r="E210" s="109">
        <f>'[3]DF 18-19'!$H$23</f>
        <v>500000</v>
      </c>
      <c r="F210" s="109">
        <v>1000000</v>
      </c>
      <c r="G210" s="110"/>
      <c r="H210" s="110"/>
    </row>
    <row r="211" spans="3:10" x14ac:dyDescent="0.25">
      <c r="C211" s="40" t="s">
        <v>153</v>
      </c>
      <c r="D211" s="73">
        <v>767000</v>
      </c>
      <c r="E211" s="109">
        <f>'[3]DF 18-19'!$H$37</f>
        <v>200000</v>
      </c>
      <c r="F211" s="109">
        <v>425500</v>
      </c>
      <c r="G211" s="110"/>
      <c r="H211" s="110"/>
    </row>
    <row r="212" spans="3:10" x14ac:dyDescent="0.25">
      <c r="C212" s="40" t="s">
        <v>154</v>
      </c>
      <c r="D212" s="73">
        <v>533484</v>
      </c>
      <c r="E212" s="109">
        <v>0</v>
      </c>
      <c r="F212" s="109">
        <v>0</v>
      </c>
      <c r="G212" s="110"/>
      <c r="H212" s="110"/>
    </row>
    <row r="213" spans="3:10" x14ac:dyDescent="0.25">
      <c r="C213" s="40" t="s">
        <v>155</v>
      </c>
      <c r="D213" s="73">
        <v>97304</v>
      </c>
      <c r="E213" s="109">
        <f>'[3]DF 18-19'!$H$29</f>
        <v>500000</v>
      </c>
      <c r="F213" s="109">
        <v>1000000</v>
      </c>
      <c r="G213" s="110"/>
      <c r="H213" s="110"/>
    </row>
    <row r="214" spans="3:10" x14ac:dyDescent="0.25">
      <c r="C214" s="40" t="s">
        <v>156</v>
      </c>
      <c r="D214" s="73">
        <v>588210</v>
      </c>
      <c r="E214" s="109"/>
      <c r="F214" s="109">
        <v>0</v>
      </c>
      <c r="G214" s="110"/>
      <c r="H214" s="110"/>
    </row>
    <row r="215" spans="3:10" x14ac:dyDescent="0.25">
      <c r="C215" s="40" t="s">
        <v>157</v>
      </c>
      <c r="D215" s="73">
        <v>0</v>
      </c>
      <c r="E215" s="109">
        <f>'[3]DF 18-19'!$H$45+1409392+140393</f>
        <v>2049785</v>
      </c>
      <c r="F215" s="109">
        <v>810000</v>
      </c>
      <c r="G215" s="110"/>
      <c r="H215" s="110"/>
    </row>
    <row r="216" spans="3:10" x14ac:dyDescent="0.25">
      <c r="C216" s="40" t="s">
        <v>158</v>
      </c>
      <c r="D216" s="73">
        <v>73538</v>
      </c>
      <c r="E216" s="109">
        <f>'[3]DF 18-19'!$G$38</f>
        <v>315807</v>
      </c>
      <c r="F216" s="109">
        <v>500000</v>
      </c>
      <c r="G216" s="110"/>
      <c r="H216" s="110"/>
    </row>
    <row r="217" spans="3:10" x14ac:dyDescent="0.25">
      <c r="C217" s="40" t="s">
        <v>159</v>
      </c>
      <c r="D217" s="73">
        <v>177000</v>
      </c>
      <c r="E217" s="109">
        <f>'[3]DF 18-19'!$H$27</f>
        <v>500000</v>
      </c>
      <c r="F217" s="109">
        <v>1000000</v>
      </c>
      <c r="G217" s="110"/>
      <c r="H217" s="110"/>
      <c r="J217" s="43">
        <f>F204-F227</f>
        <v>-14984904</v>
      </c>
    </row>
    <row r="218" spans="3:10" x14ac:dyDescent="0.25">
      <c r="C218" s="40" t="s">
        <v>160</v>
      </c>
      <c r="D218" s="73"/>
      <c r="E218" s="109">
        <f>'[3]DF 18-19'!$G$24+'[3]DF 18-19'!$H$24</f>
        <v>362780</v>
      </c>
      <c r="F218" s="109">
        <v>2000000</v>
      </c>
      <c r="G218" s="110"/>
      <c r="H218" s="110"/>
    </row>
    <row r="219" spans="3:10" x14ac:dyDescent="0.25">
      <c r="C219" s="62" t="s">
        <v>161</v>
      </c>
      <c r="D219" s="111">
        <v>190772</v>
      </c>
      <c r="E219" s="112">
        <f>'[3]DF 18-19'!$G$41+'[3]DF 18-19'!$H$41</f>
        <v>1007456</v>
      </c>
      <c r="F219" s="112">
        <v>2000000</v>
      </c>
      <c r="G219" s="110"/>
      <c r="H219" s="110"/>
    </row>
    <row r="220" spans="3:10" x14ac:dyDescent="0.25">
      <c r="C220" s="62" t="s">
        <v>162</v>
      </c>
      <c r="D220" s="111">
        <v>752368</v>
      </c>
      <c r="E220" s="112">
        <f>'[3]DF 18-19'!$H$47</f>
        <v>500000</v>
      </c>
      <c r="F220" s="112">
        <v>1500000</v>
      </c>
      <c r="G220" s="110"/>
      <c r="H220" s="110"/>
    </row>
    <row r="221" spans="3:10" x14ac:dyDescent="0.25">
      <c r="C221" s="62" t="s">
        <v>163</v>
      </c>
      <c r="D221" s="111">
        <v>67853</v>
      </c>
      <c r="E221" s="112">
        <f>'[3]DF 18-19'!$G$30+'[3]DF 18-19'!$H$30</f>
        <v>1320000</v>
      </c>
      <c r="F221" s="112">
        <v>0</v>
      </c>
      <c r="G221" s="110"/>
      <c r="H221" s="110"/>
    </row>
    <row r="222" spans="3:10" x14ac:dyDescent="0.25">
      <c r="C222" s="62" t="s">
        <v>164</v>
      </c>
      <c r="D222" s="111">
        <v>0</v>
      </c>
      <c r="E222" s="112">
        <f>'[3]DF 18-19'!$H$31</f>
        <v>200000</v>
      </c>
      <c r="F222" s="112">
        <v>400000</v>
      </c>
      <c r="G222" s="110"/>
      <c r="H222" s="110"/>
    </row>
    <row r="223" spans="3:10" x14ac:dyDescent="0.25">
      <c r="C223" s="62" t="s">
        <v>165</v>
      </c>
      <c r="D223" s="111">
        <v>16100</v>
      </c>
      <c r="E223" s="112">
        <f>'[3]DF 18-19'!$G$32+'[3]DF 18-19'!$H$32</f>
        <v>677772</v>
      </c>
      <c r="F223" s="112">
        <v>500000</v>
      </c>
      <c r="G223" s="110"/>
      <c r="H223" s="110"/>
    </row>
    <row r="224" spans="3:10" x14ac:dyDescent="0.25">
      <c r="C224" s="111" t="s">
        <v>166</v>
      </c>
      <c r="D224" s="111">
        <v>0</v>
      </c>
      <c r="E224" s="112">
        <f>'[3]DF 18-19'!$G$50+'[3]DF 18-19'!$H$50</f>
        <v>1839271</v>
      </c>
      <c r="F224" s="112">
        <v>1000000</v>
      </c>
      <c r="G224" s="110"/>
      <c r="H224" s="110"/>
    </row>
    <row r="225" spans="3:8" x14ac:dyDescent="0.25">
      <c r="C225" s="111" t="s">
        <v>167</v>
      </c>
      <c r="D225" s="111"/>
      <c r="E225" s="112">
        <f>'[3]DF 18-19'!$G$33+'[3]DF 18-19'!$H$33</f>
        <v>168800</v>
      </c>
      <c r="F225" s="112">
        <v>349404</v>
      </c>
      <c r="G225" s="110"/>
      <c r="H225" s="110"/>
    </row>
    <row r="226" spans="3:8" ht="14.25" thickBot="1" x14ac:dyDescent="0.3">
      <c r="C226" s="111" t="s">
        <v>168</v>
      </c>
      <c r="D226" s="111"/>
      <c r="E226" s="112">
        <f>'[3]DF 18-19'!$H$53</f>
        <v>897607</v>
      </c>
      <c r="F226" s="112">
        <v>1000000</v>
      </c>
      <c r="G226" s="110"/>
      <c r="H226" s="110"/>
    </row>
    <row r="227" spans="3:8" ht="14.25" thickBot="1" x14ac:dyDescent="0.3">
      <c r="C227" s="48" t="s">
        <v>109</v>
      </c>
      <c r="D227" s="113">
        <f>SUM(D209:D224)</f>
        <v>11947471</v>
      </c>
      <c r="E227" s="113">
        <f>SUM(E209:E226)</f>
        <v>11539278</v>
      </c>
      <c r="F227" s="64">
        <f>SUM(F209:F226)</f>
        <v>14984904</v>
      </c>
      <c r="G227" s="50"/>
      <c r="H227" s="50"/>
    </row>
    <row r="228" spans="3:8" ht="13.9" customHeight="1" thickBot="1" x14ac:dyDescent="0.3">
      <c r="C228" s="46"/>
      <c r="D228" s="97"/>
      <c r="E228" s="98"/>
      <c r="F228" s="98"/>
      <c r="G228" s="56"/>
      <c r="H228" s="56"/>
    </row>
    <row r="229" spans="3:8" ht="12.75" customHeight="1" thickBot="1" x14ac:dyDescent="0.3">
      <c r="C229" s="48" t="s">
        <v>169</v>
      </c>
      <c r="D229" s="90">
        <f t="shared" ref="D229:F229" si="18">D206-D227</f>
        <v>0</v>
      </c>
      <c r="E229" s="49">
        <f t="shared" si="18"/>
        <v>0</v>
      </c>
      <c r="F229" s="49">
        <f t="shared" si="18"/>
        <v>0</v>
      </c>
      <c r="G229" s="50"/>
      <c r="H229" s="50"/>
    </row>
    <row r="240" spans="3:8" ht="14.25" thickBot="1" x14ac:dyDescent="0.3">
      <c r="C240" s="82" t="s">
        <v>113</v>
      </c>
    </row>
    <row r="241" spans="3:8" ht="12.75" customHeight="1" x14ac:dyDescent="0.25">
      <c r="C241" s="123" t="s">
        <v>35</v>
      </c>
      <c r="D241" s="125" t="s">
        <v>36</v>
      </c>
      <c r="E241" s="125" t="s">
        <v>37</v>
      </c>
      <c r="F241" s="125" t="s">
        <v>38</v>
      </c>
      <c r="G241" s="35"/>
      <c r="H241" s="35"/>
    </row>
    <row r="242" spans="3:8" ht="14.25" thickBot="1" x14ac:dyDescent="0.3">
      <c r="C242" s="124"/>
      <c r="D242" s="126"/>
      <c r="E242" s="126"/>
      <c r="F242" s="126"/>
      <c r="G242" s="35"/>
      <c r="H242" s="35"/>
    </row>
    <row r="243" spans="3:8" x14ac:dyDescent="0.25">
      <c r="C243" s="38" t="s">
        <v>147</v>
      </c>
      <c r="D243" s="60">
        <v>0</v>
      </c>
      <c r="E243" s="61">
        <f>+D257</f>
        <v>1736189.8999999985</v>
      </c>
      <c r="F243" s="61">
        <f>+E257</f>
        <v>174828.89999999851</v>
      </c>
      <c r="G243" s="56"/>
      <c r="H243" s="56"/>
    </row>
    <row r="244" spans="3:8" x14ac:dyDescent="0.25">
      <c r="C244" s="38" t="s">
        <v>170</v>
      </c>
      <c r="D244" s="60">
        <v>2762500</v>
      </c>
      <c r="E244" s="61">
        <v>0</v>
      </c>
      <c r="F244" s="61">
        <v>0</v>
      </c>
      <c r="G244" s="56"/>
      <c r="H244" s="56"/>
    </row>
    <row r="245" spans="3:8" ht="14.25" thickBot="1" x14ac:dyDescent="0.3">
      <c r="C245" s="38" t="s">
        <v>171</v>
      </c>
      <c r="D245" s="41">
        <v>16840978</v>
      </c>
      <c r="E245" s="41">
        <v>11856850</v>
      </c>
      <c r="F245" s="41">
        <v>11856850</v>
      </c>
      <c r="G245" s="42"/>
      <c r="H245" s="42"/>
    </row>
    <row r="246" spans="3:8" ht="14.25" thickBot="1" x14ac:dyDescent="0.3">
      <c r="C246" s="48" t="s">
        <v>56</v>
      </c>
      <c r="D246" s="48">
        <f>SUM(D243:D245)</f>
        <v>19603478</v>
      </c>
      <c r="E246" s="64">
        <f>SUM(E243:E245)</f>
        <v>13593039.899999999</v>
      </c>
      <c r="F246" s="64">
        <f>SUM(F243:F245)</f>
        <v>12031678.899999999</v>
      </c>
      <c r="G246" s="50"/>
      <c r="H246" s="50"/>
    </row>
    <row r="247" spans="3:8" x14ac:dyDescent="0.25">
      <c r="C247" s="85"/>
      <c r="D247" s="85"/>
      <c r="E247" s="86"/>
      <c r="F247" s="86"/>
      <c r="G247" s="50"/>
      <c r="H247" s="50"/>
    </row>
    <row r="248" spans="3:8" x14ac:dyDescent="0.25">
      <c r="C248" s="38" t="s">
        <v>118</v>
      </c>
      <c r="D248" s="87"/>
      <c r="E248" s="87"/>
      <c r="F248" s="87"/>
    </row>
    <row r="249" spans="3:8" x14ac:dyDescent="0.25">
      <c r="C249" s="40" t="s">
        <v>119</v>
      </c>
      <c r="D249" s="40">
        <v>3641941</v>
      </c>
      <c r="E249" s="55">
        <v>3683425</v>
      </c>
      <c r="F249" s="55">
        <v>4000000</v>
      </c>
      <c r="G249" s="56"/>
      <c r="H249" s="56"/>
    </row>
    <row r="250" spans="3:8" x14ac:dyDescent="0.25">
      <c r="C250" s="40" t="s">
        <v>120</v>
      </c>
      <c r="D250" s="40">
        <v>3446456.1</v>
      </c>
      <c r="E250" s="55">
        <v>2342075</v>
      </c>
      <c r="F250" s="55">
        <v>2500000</v>
      </c>
      <c r="G250" s="56"/>
      <c r="H250" s="56"/>
    </row>
    <row r="251" spans="3:8" x14ac:dyDescent="0.25">
      <c r="C251" s="40" t="s">
        <v>121</v>
      </c>
      <c r="D251" s="40">
        <v>523291</v>
      </c>
      <c r="E251" s="55">
        <v>483511</v>
      </c>
      <c r="F251" s="55">
        <v>600000</v>
      </c>
      <c r="G251" s="56"/>
      <c r="H251" s="56"/>
    </row>
    <row r="252" spans="3:8" x14ac:dyDescent="0.25">
      <c r="C252" s="40" t="s">
        <v>122</v>
      </c>
      <c r="D252" s="40">
        <v>10255600</v>
      </c>
      <c r="E252" s="55">
        <v>6909200</v>
      </c>
      <c r="F252" s="55">
        <v>7500000</v>
      </c>
      <c r="G252" s="56"/>
      <c r="H252" s="56"/>
    </row>
    <row r="253" spans="3:8" x14ac:dyDescent="0.25">
      <c r="C253" s="40"/>
      <c r="D253" s="40">
        <v>0</v>
      </c>
      <c r="E253" s="55">
        <v>0</v>
      </c>
      <c r="F253" s="55">
        <v>0</v>
      </c>
      <c r="G253" s="56"/>
      <c r="H253" s="56"/>
    </row>
    <row r="254" spans="3:8" ht="14.25" thickBot="1" x14ac:dyDescent="0.3">
      <c r="C254" s="62"/>
      <c r="D254" s="62"/>
      <c r="E254" s="63"/>
      <c r="F254" s="63"/>
      <c r="G254" s="56"/>
      <c r="H254" s="56"/>
    </row>
    <row r="255" spans="3:8" ht="14.25" thickBot="1" x14ac:dyDescent="0.3">
      <c r="C255" s="48" t="s">
        <v>109</v>
      </c>
      <c r="D255" s="48">
        <f t="shared" ref="D255:F255" si="19">SUM(D249:D254)</f>
        <v>17867288.100000001</v>
      </c>
      <c r="E255" s="64">
        <f t="shared" si="19"/>
        <v>13418211</v>
      </c>
      <c r="F255" s="64">
        <f t="shared" si="19"/>
        <v>14600000</v>
      </c>
      <c r="G255" s="50"/>
      <c r="H255" s="50"/>
    </row>
    <row r="256" spans="3:8" ht="14.25" thickBot="1" x14ac:dyDescent="0.3">
      <c r="C256" s="46"/>
      <c r="D256" s="46"/>
      <c r="E256" s="88"/>
      <c r="F256" s="88"/>
      <c r="G256" s="56"/>
      <c r="H256" s="56"/>
    </row>
    <row r="257" spans="2:8" ht="14.25" thickBot="1" x14ac:dyDescent="0.3">
      <c r="C257" s="48" t="s">
        <v>124</v>
      </c>
      <c r="D257" s="48">
        <f t="shared" ref="D257:F257" si="20">D246-D255</f>
        <v>1736189.8999999985</v>
      </c>
      <c r="E257" s="64">
        <f t="shared" si="20"/>
        <v>174828.89999999851</v>
      </c>
      <c r="F257" s="64">
        <f t="shared" si="20"/>
        <v>-2568321.1000000015</v>
      </c>
      <c r="G257" s="50"/>
      <c r="H257" s="50"/>
    </row>
    <row r="260" spans="2:8" hidden="1" x14ac:dyDescent="0.25"/>
    <row r="261" spans="2:8" hidden="1" x14ac:dyDescent="0.25"/>
    <row r="262" spans="2:8" hidden="1" x14ac:dyDescent="0.25"/>
    <row r="263" spans="2:8" x14ac:dyDescent="0.25">
      <c r="B263" s="33" t="s">
        <v>172</v>
      </c>
      <c r="C263" s="37" t="s">
        <v>173</v>
      </c>
      <c r="D263" s="114"/>
      <c r="E263" s="115"/>
      <c r="F263" s="115"/>
      <c r="G263" s="115"/>
      <c r="H263" s="115"/>
    </row>
    <row r="264" spans="2:8" ht="14.25" thickBot="1" x14ac:dyDescent="0.3"/>
    <row r="265" spans="2:8" ht="12.75" customHeight="1" x14ac:dyDescent="0.25">
      <c r="B265" s="127"/>
      <c r="C265" s="123" t="s">
        <v>35</v>
      </c>
      <c r="D265" s="125" t="s">
        <v>36</v>
      </c>
      <c r="E265" s="125" t="s">
        <v>37</v>
      </c>
      <c r="F265" s="125" t="s">
        <v>38</v>
      </c>
      <c r="G265" s="35"/>
      <c r="H265" s="35"/>
    </row>
    <row r="266" spans="2:8" ht="14.25" thickBot="1" x14ac:dyDescent="0.3">
      <c r="B266" s="127"/>
      <c r="C266" s="124"/>
      <c r="D266" s="126"/>
      <c r="E266" s="126"/>
      <c r="F266" s="126"/>
      <c r="G266" s="35"/>
      <c r="H266" s="35"/>
    </row>
    <row r="267" spans="2:8" x14ac:dyDescent="0.25">
      <c r="C267" s="40"/>
      <c r="D267" s="87"/>
      <c r="E267" s="87"/>
      <c r="F267" s="87"/>
    </row>
    <row r="268" spans="2:8" x14ac:dyDescent="0.25">
      <c r="C268" s="40" t="s">
        <v>174</v>
      </c>
      <c r="D268" s="105">
        <f>D36</f>
        <v>3754510.0799999982</v>
      </c>
      <c r="E268" s="105">
        <f>E36</f>
        <v>-3186260</v>
      </c>
      <c r="F268" s="105">
        <f>F36</f>
        <v>-22760653</v>
      </c>
      <c r="G268" s="102"/>
      <c r="H268" s="102"/>
    </row>
    <row r="269" spans="2:8" x14ac:dyDescent="0.25">
      <c r="C269" s="40" t="s">
        <v>175</v>
      </c>
      <c r="D269" s="105">
        <f>D82</f>
        <v>-7396734.1699999999</v>
      </c>
      <c r="E269" s="105">
        <f>E82</f>
        <v>-6226275</v>
      </c>
      <c r="F269" s="105">
        <f>F82</f>
        <v>-6384783</v>
      </c>
      <c r="G269" s="102"/>
      <c r="H269" s="102"/>
    </row>
    <row r="270" spans="2:8" x14ac:dyDescent="0.25">
      <c r="C270" s="40" t="s">
        <v>176</v>
      </c>
      <c r="D270" s="105">
        <f>D193</f>
        <v>923054</v>
      </c>
      <c r="E270" s="105">
        <f>E193</f>
        <v>1521950</v>
      </c>
      <c r="F270" s="105">
        <f>F193</f>
        <v>1016950</v>
      </c>
      <c r="G270" s="102"/>
      <c r="H270" s="102"/>
    </row>
    <row r="271" spans="2:8" x14ac:dyDescent="0.25">
      <c r="C271" s="40" t="s">
        <v>177</v>
      </c>
      <c r="D271" s="105">
        <v>6031565.7699999996</v>
      </c>
      <c r="E271" s="105">
        <f>+SUM('[1]Income &amp; Exp'!E19:E25)+'[1]Income &amp; Exp'!E10-'[1]Income &amp; Exp'!E19</f>
        <v>5683600</v>
      </c>
      <c r="F271" s="105">
        <v>6116150</v>
      </c>
      <c r="G271" s="102"/>
      <c r="H271" s="102"/>
    </row>
    <row r="272" spans="2:8" x14ac:dyDescent="0.25">
      <c r="C272" s="62" t="s">
        <v>178</v>
      </c>
      <c r="D272" s="116"/>
      <c r="E272" s="116"/>
      <c r="F272" s="116"/>
      <c r="G272" s="102"/>
      <c r="H272" s="102"/>
    </row>
    <row r="273" spans="3:8" x14ac:dyDescent="0.25">
      <c r="C273" s="62" t="s">
        <v>178</v>
      </c>
      <c r="D273" s="116"/>
      <c r="E273" s="116"/>
      <c r="F273" s="116"/>
      <c r="G273" s="102"/>
      <c r="H273" s="102"/>
    </row>
    <row r="274" spans="3:8" x14ac:dyDescent="0.25">
      <c r="C274" s="62" t="s">
        <v>178</v>
      </c>
      <c r="D274" s="116"/>
      <c r="E274" s="116"/>
      <c r="F274" s="116"/>
      <c r="G274" s="102"/>
      <c r="H274" s="102"/>
    </row>
    <row r="275" spans="3:8" x14ac:dyDescent="0.25">
      <c r="C275" s="62" t="s">
        <v>179</v>
      </c>
      <c r="D275" s="116"/>
      <c r="E275" s="116"/>
      <c r="F275" s="116"/>
      <c r="G275" s="102"/>
      <c r="H275" s="102"/>
    </row>
    <row r="276" spans="3:8" x14ac:dyDescent="0.25">
      <c r="C276" s="62" t="s">
        <v>178</v>
      </c>
      <c r="D276" s="116"/>
      <c r="E276" s="116"/>
      <c r="F276" s="116"/>
      <c r="G276" s="102"/>
      <c r="H276" s="102"/>
    </row>
    <row r="277" spans="3:8" x14ac:dyDescent="0.25">
      <c r="C277" s="62"/>
      <c r="D277" s="116"/>
      <c r="E277" s="116"/>
      <c r="F277" s="116"/>
      <c r="G277" s="102"/>
      <c r="H277" s="102"/>
    </row>
    <row r="278" spans="3:8" ht="14.25" thickBot="1" x14ac:dyDescent="0.3">
      <c r="C278" s="62"/>
      <c r="D278" s="116"/>
      <c r="E278" s="116"/>
      <c r="F278" s="116"/>
      <c r="G278" s="102"/>
      <c r="H278" s="102"/>
    </row>
    <row r="279" spans="3:8" ht="14.25" thickBot="1" x14ac:dyDescent="0.3">
      <c r="C279" s="48" t="s">
        <v>180</v>
      </c>
      <c r="D279" s="78">
        <f t="shared" ref="D279:F279" si="21">SUM(D268:D271)</f>
        <v>3312395.6799999978</v>
      </c>
      <c r="E279" s="78">
        <f t="shared" si="21"/>
        <v>-2206985</v>
      </c>
      <c r="F279" s="78">
        <f t="shared" si="21"/>
        <v>-22012336</v>
      </c>
      <c r="G279" s="42"/>
      <c r="H279" s="42"/>
    </row>
    <row r="280" spans="3:8" x14ac:dyDescent="0.25">
      <c r="C280" s="52" t="s">
        <v>181</v>
      </c>
      <c r="D280" s="72"/>
      <c r="E280" s="72"/>
      <c r="F280" s="72"/>
    </row>
    <row r="281" spans="3:8" x14ac:dyDescent="0.25">
      <c r="C281" s="40" t="s">
        <v>182</v>
      </c>
      <c r="D281" s="60">
        <f>1052117+8218.5</f>
        <v>1060335.5</v>
      </c>
      <c r="E281" s="61">
        <f>'[1]Income &amp; Exp'!E110</f>
        <v>0</v>
      </c>
      <c r="F281" s="61">
        <f>'[1]Income &amp; Exp'!F110</f>
        <v>0</v>
      </c>
      <c r="G281" s="56"/>
      <c r="H281" s="56"/>
    </row>
    <row r="282" spans="3:8" x14ac:dyDescent="0.25">
      <c r="C282" s="55" t="s">
        <v>183</v>
      </c>
      <c r="D282" s="60">
        <v>32543.1</v>
      </c>
      <c r="E282" s="61">
        <f>'[1]Income &amp; Exp'!E63</f>
        <v>32000</v>
      </c>
      <c r="F282" s="61">
        <f>'[1]Income &amp; Exp'!F63</f>
        <v>40000</v>
      </c>
      <c r="G282" s="56"/>
      <c r="H282" s="56"/>
    </row>
    <row r="283" spans="3:8" x14ac:dyDescent="0.25">
      <c r="C283" s="40" t="s">
        <v>184</v>
      </c>
      <c r="D283" s="60">
        <v>12637060</v>
      </c>
      <c r="E283" s="61">
        <f>'[1]Income &amp; Exp'!E114</f>
        <v>11806565</v>
      </c>
      <c r="F283" s="61">
        <v>11000000</v>
      </c>
      <c r="G283" s="56"/>
      <c r="H283" s="56"/>
    </row>
    <row r="284" spans="3:8" x14ac:dyDescent="0.25">
      <c r="C284" s="62" t="s">
        <v>185</v>
      </c>
      <c r="D284" s="74">
        <v>37239</v>
      </c>
      <c r="E284" s="75">
        <f>'[1]Income &amp; Exp'!E71</f>
        <v>55000</v>
      </c>
      <c r="F284" s="75">
        <f>'[1]Income &amp; Exp'!F71</f>
        <v>60000</v>
      </c>
      <c r="G284" s="56"/>
      <c r="H284" s="56"/>
    </row>
    <row r="285" spans="3:8" x14ac:dyDescent="0.25">
      <c r="C285" s="40" t="s">
        <v>186</v>
      </c>
      <c r="D285" s="60">
        <v>240571</v>
      </c>
      <c r="E285" s="61">
        <v>70000</v>
      </c>
      <c r="F285" s="61">
        <v>80000</v>
      </c>
      <c r="G285" s="56"/>
      <c r="H285" s="56"/>
    </row>
    <row r="286" spans="3:8" x14ac:dyDescent="0.25">
      <c r="C286" s="40" t="s">
        <v>187</v>
      </c>
      <c r="D286" s="60">
        <v>56595.02</v>
      </c>
      <c r="E286" s="61">
        <v>0</v>
      </c>
      <c r="F286" s="61">
        <v>0</v>
      </c>
      <c r="G286" s="56"/>
      <c r="H286" s="56"/>
    </row>
    <row r="287" spans="3:8" x14ac:dyDescent="0.25">
      <c r="C287" s="40" t="s">
        <v>107</v>
      </c>
      <c r="D287" s="60">
        <v>0</v>
      </c>
      <c r="E287" s="61">
        <v>64</v>
      </c>
      <c r="F287" s="61">
        <v>0</v>
      </c>
      <c r="G287" s="56"/>
      <c r="H287" s="56"/>
    </row>
    <row r="288" spans="3:8" x14ac:dyDescent="0.25">
      <c r="C288" s="40" t="s">
        <v>188</v>
      </c>
      <c r="D288" s="60">
        <v>71403</v>
      </c>
      <c r="E288" s="61">
        <f>'[1]Income &amp; Exp'!E64</f>
        <v>51000</v>
      </c>
      <c r="F288" s="61">
        <f>'[1]Income &amp; Exp'!F64</f>
        <v>60000</v>
      </c>
      <c r="G288" s="56"/>
      <c r="H288" s="56"/>
    </row>
    <row r="289" spans="3:9" x14ac:dyDescent="0.25">
      <c r="C289" s="40" t="s">
        <v>189</v>
      </c>
      <c r="D289" s="60">
        <v>1600</v>
      </c>
      <c r="E289" s="61">
        <f>'[1]Income &amp; Exp'!E72</f>
        <v>20000</v>
      </c>
      <c r="F289" s="61">
        <f>'[1]Income &amp; Exp'!F72</f>
        <v>25000</v>
      </c>
      <c r="G289" s="56"/>
      <c r="H289" s="56"/>
    </row>
    <row r="290" spans="3:9" x14ac:dyDescent="0.25">
      <c r="C290" s="40" t="s">
        <v>190</v>
      </c>
      <c r="D290" s="60">
        <v>0</v>
      </c>
      <c r="E290" s="61">
        <v>18515</v>
      </c>
      <c r="F290" s="61">
        <v>0</v>
      </c>
      <c r="G290" s="56"/>
      <c r="H290" s="56"/>
    </row>
    <row r="291" spans="3:9" ht="14.25" thickBot="1" x14ac:dyDescent="0.3">
      <c r="C291" s="46" t="s">
        <v>191</v>
      </c>
      <c r="D291" s="97">
        <v>0</v>
      </c>
      <c r="E291" s="98">
        <v>91029</v>
      </c>
      <c r="F291" s="98">
        <v>0</v>
      </c>
      <c r="G291" s="56"/>
      <c r="H291" s="56"/>
    </row>
    <row r="292" spans="3:9" ht="14.25" thickBot="1" x14ac:dyDescent="0.3">
      <c r="C292" s="48" t="s">
        <v>192</v>
      </c>
      <c r="D292" s="117">
        <f>SUM(D281:D291)</f>
        <v>14137346.619999999</v>
      </c>
      <c r="E292" s="117">
        <f>SUM(E281:E291)</f>
        <v>12144173</v>
      </c>
      <c r="F292" s="117">
        <f>SUM(F281:F291)</f>
        <v>11265000</v>
      </c>
      <c r="G292" s="56"/>
      <c r="H292" s="56"/>
    </row>
    <row r="293" spans="3:9" ht="14.25" thickBot="1" x14ac:dyDescent="0.3">
      <c r="C293" s="48" t="s">
        <v>193</v>
      </c>
      <c r="D293" s="118">
        <f t="shared" ref="D293:E293" si="22">D279-D292</f>
        <v>-10824950.940000001</v>
      </c>
      <c r="E293" s="118">
        <f t="shared" si="22"/>
        <v>-14351158</v>
      </c>
      <c r="F293" s="118">
        <f>F279-F292</f>
        <v>-33277336</v>
      </c>
      <c r="G293" s="42"/>
      <c r="H293" s="42"/>
      <c r="I293" s="102"/>
    </row>
    <row r="294" spans="3:9" ht="14.25" thickBot="1" x14ac:dyDescent="0.3">
      <c r="C294" s="107" t="s">
        <v>194</v>
      </c>
      <c r="D294" s="119">
        <f>D229</f>
        <v>0</v>
      </c>
      <c r="E294" s="120">
        <f>E229</f>
        <v>0</v>
      </c>
      <c r="F294" s="120">
        <f>F229</f>
        <v>0</v>
      </c>
      <c r="G294" s="102"/>
      <c r="H294" s="102"/>
    </row>
    <row r="295" spans="3:9" ht="14.25" thickBot="1" x14ac:dyDescent="0.3">
      <c r="C295" s="48" t="s">
        <v>195</v>
      </c>
      <c r="D295" s="121">
        <f>D257</f>
        <v>1736189.8999999985</v>
      </c>
      <c r="E295" s="122">
        <f>E257</f>
        <v>174828.89999999851</v>
      </c>
      <c r="F295" s="122">
        <f>F257</f>
        <v>-2568321.1000000015</v>
      </c>
      <c r="G295" s="50"/>
      <c r="H295" s="50"/>
    </row>
    <row r="296" spans="3:9" x14ac:dyDescent="0.25">
      <c r="D296" s="102"/>
      <c r="E296" s="102"/>
      <c r="F296" s="102"/>
      <c r="G296" s="102"/>
      <c r="H296" s="102"/>
    </row>
    <row r="297" spans="3:9" x14ac:dyDescent="0.25">
      <c r="E297" s="102"/>
    </row>
    <row r="298" spans="3:9" x14ac:dyDescent="0.25">
      <c r="E298" s="43"/>
    </row>
    <row r="299" spans="3:9" x14ac:dyDescent="0.25">
      <c r="E299" s="102"/>
    </row>
    <row r="309" spans="5:8" x14ac:dyDescent="0.25">
      <c r="E309" s="102">
        <f>'[1]Income &amp; Exp'!E118-'fund accounting'!E293</f>
        <v>0</v>
      </c>
      <c r="F309" s="102">
        <f>'[1]Income &amp; Exp'!F118-'fund accounting'!F293</f>
        <v>0</v>
      </c>
      <c r="G309" s="102"/>
      <c r="H309" s="102"/>
    </row>
  </sheetData>
  <mergeCells count="62">
    <mergeCell ref="M8:M9"/>
    <mergeCell ref="C38:F40"/>
    <mergeCell ref="B2:F2"/>
    <mergeCell ref="C4:F6"/>
    <mergeCell ref="B8:B9"/>
    <mergeCell ref="C8:C9"/>
    <mergeCell ref="D8:D9"/>
    <mergeCell ref="E8:E9"/>
    <mergeCell ref="F8:F9"/>
    <mergeCell ref="C85:F86"/>
    <mergeCell ref="I8:I9"/>
    <mergeCell ref="J8:J9"/>
    <mergeCell ref="K8:K9"/>
    <mergeCell ref="L8:L9"/>
    <mergeCell ref="B42:B43"/>
    <mergeCell ref="C42:C43"/>
    <mergeCell ref="D42:D43"/>
    <mergeCell ref="E42:E43"/>
    <mergeCell ref="F42:F43"/>
    <mergeCell ref="B108:B109"/>
    <mergeCell ref="C108:C109"/>
    <mergeCell ref="D108:D109"/>
    <mergeCell ref="E108:E109"/>
    <mergeCell ref="F108:F109"/>
    <mergeCell ref="B89:B90"/>
    <mergeCell ref="C89:C90"/>
    <mergeCell ref="D89:D90"/>
    <mergeCell ref="E89:E90"/>
    <mergeCell ref="F89:F90"/>
    <mergeCell ref="B138:B139"/>
    <mergeCell ref="C138:C139"/>
    <mergeCell ref="D138:D139"/>
    <mergeCell ref="E138:E139"/>
    <mergeCell ref="F138:F139"/>
    <mergeCell ref="B123:B124"/>
    <mergeCell ref="C123:C124"/>
    <mergeCell ref="D123:D124"/>
    <mergeCell ref="E123:E124"/>
    <mergeCell ref="F123:F124"/>
    <mergeCell ref="C152:C153"/>
    <mergeCell ref="D152:D153"/>
    <mergeCell ref="E152:E153"/>
    <mergeCell ref="F152:F153"/>
    <mergeCell ref="C173:C174"/>
    <mergeCell ref="D173:D174"/>
    <mergeCell ref="E173:E174"/>
    <mergeCell ref="F173:F174"/>
    <mergeCell ref="C197:F199"/>
    <mergeCell ref="B201:B202"/>
    <mergeCell ref="C201:C202"/>
    <mergeCell ref="D201:D202"/>
    <mergeCell ref="E201:E202"/>
    <mergeCell ref="F201:F202"/>
    <mergeCell ref="C241:C242"/>
    <mergeCell ref="D241:D242"/>
    <mergeCell ref="E241:E242"/>
    <mergeCell ref="F241:F242"/>
    <mergeCell ref="B265:B266"/>
    <mergeCell ref="C265:C266"/>
    <mergeCell ref="D265:D266"/>
    <mergeCell ref="E265:E266"/>
    <mergeCell ref="F265:F266"/>
  </mergeCells>
  <pageMargins left="0.37" right="0.16" top="0.17" bottom="0.24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ACBC-1C3B-40CC-8F8C-E3AB80FFF838}">
  <dimension ref="B4:U25"/>
  <sheetViews>
    <sheetView workbookViewId="0">
      <pane ySplit="5" topLeftCell="A6" activePane="bottomLeft" state="frozen"/>
      <selection pane="bottomLeft" activeCell="E27" sqref="E27"/>
    </sheetView>
  </sheetViews>
  <sheetFormatPr defaultRowHeight="15" x14ac:dyDescent="0.25"/>
  <cols>
    <col min="2" max="2" width="10.7109375" customWidth="1"/>
    <col min="3" max="3" width="8.85546875" bestFit="1" customWidth="1"/>
    <col min="4" max="4" width="5" bestFit="1" customWidth="1"/>
    <col min="5" max="5" width="11" bestFit="1" customWidth="1"/>
    <col min="6" max="6" width="10.5703125" customWidth="1"/>
    <col min="7" max="7" width="9.85546875" bestFit="1" customWidth="1"/>
    <col min="8" max="8" width="9.42578125" bestFit="1" customWidth="1"/>
    <col min="9" max="9" width="9.28515625" bestFit="1" customWidth="1"/>
    <col min="10" max="10" width="9.85546875" customWidth="1"/>
    <col min="11" max="11" width="8" bestFit="1" customWidth="1"/>
    <col min="12" max="12" width="9.42578125" bestFit="1" customWidth="1"/>
    <col min="13" max="13" width="6.140625" bestFit="1" customWidth="1"/>
    <col min="14" max="14" width="9.42578125" bestFit="1" customWidth="1"/>
    <col min="15" max="15" width="4" bestFit="1" customWidth="1"/>
    <col min="16" max="16" width="10.42578125" customWidth="1"/>
    <col min="17" max="17" width="8.42578125" customWidth="1"/>
    <col min="18" max="18" width="9.85546875" customWidth="1"/>
    <col min="19" max="19" width="8.42578125" customWidth="1"/>
    <col min="20" max="20" width="9.28515625" customWidth="1"/>
    <col min="21" max="21" width="9.42578125" bestFit="1" customWidth="1"/>
  </cols>
  <sheetData>
    <row r="4" spans="2:21" ht="19.5" thickBot="1" x14ac:dyDescent="0.35">
      <c r="B4" s="1" t="s">
        <v>0</v>
      </c>
    </row>
    <row r="5" spans="2:21" ht="60.75" thickBot="1" x14ac:dyDescent="0.3"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7</v>
      </c>
      <c r="K5" s="3" t="s">
        <v>9</v>
      </c>
      <c r="L5" s="3" t="s">
        <v>7</v>
      </c>
      <c r="M5" s="3" t="s">
        <v>10</v>
      </c>
      <c r="N5" s="3" t="s">
        <v>7</v>
      </c>
      <c r="O5" s="3" t="s">
        <v>11</v>
      </c>
      <c r="P5" s="3" t="s">
        <v>7</v>
      </c>
      <c r="Q5" s="3" t="s">
        <v>12</v>
      </c>
      <c r="R5" s="3" t="s">
        <v>7</v>
      </c>
      <c r="S5" s="3" t="s">
        <v>13</v>
      </c>
      <c r="T5" s="3" t="s">
        <v>7</v>
      </c>
      <c r="U5" s="4" t="s">
        <v>7</v>
      </c>
    </row>
    <row r="6" spans="2:21" x14ac:dyDescent="0.25">
      <c r="B6" s="5"/>
      <c r="C6" s="6"/>
      <c r="D6" s="6"/>
      <c r="E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7"/>
    </row>
    <row r="7" spans="2:21" x14ac:dyDescent="0.25">
      <c r="B7" s="8" t="s">
        <v>14</v>
      </c>
      <c r="C7" s="9">
        <v>40</v>
      </c>
      <c r="D7" s="9">
        <v>5</v>
      </c>
      <c r="E7" s="9">
        <v>0</v>
      </c>
      <c r="F7" s="9">
        <f>+C7-D7-E7</f>
        <v>35</v>
      </c>
      <c r="G7" s="9">
        <v>3850</v>
      </c>
      <c r="H7" s="9">
        <f>+G7*F7*12</f>
        <v>1617000</v>
      </c>
      <c r="I7" s="9">
        <v>15000</v>
      </c>
      <c r="J7" s="9">
        <f>+I7*F7</f>
        <v>525000</v>
      </c>
      <c r="K7" s="10">
        <f>G7*15/100</f>
        <v>577.5</v>
      </c>
      <c r="L7" s="9">
        <f>+K7*F7*12</f>
        <v>242550</v>
      </c>
      <c r="M7" s="9">
        <v>200</v>
      </c>
      <c r="N7" s="9">
        <f>+M7*F7*12</f>
        <v>84000</v>
      </c>
      <c r="O7" s="9">
        <v>0</v>
      </c>
      <c r="P7" s="9">
        <f>+O7*J7*12</f>
        <v>0</v>
      </c>
      <c r="Q7" s="9">
        <v>0</v>
      </c>
      <c r="R7" s="9">
        <f>+Q7*L7*12</f>
        <v>0</v>
      </c>
      <c r="S7" s="9"/>
      <c r="T7" s="9">
        <f>+S7*F7</f>
        <v>0</v>
      </c>
      <c r="U7" s="11">
        <f>+T7+R7+P7+N7+L7+J7+H7</f>
        <v>2468550</v>
      </c>
    </row>
    <row r="8" spans="2:21" x14ac:dyDescent="0.25">
      <c r="B8" s="8" t="s">
        <v>15</v>
      </c>
      <c r="C8" s="9">
        <v>40</v>
      </c>
      <c r="D8" s="9">
        <v>5</v>
      </c>
      <c r="E8" s="9">
        <v>0</v>
      </c>
      <c r="F8" s="9">
        <f t="shared" ref="F8:F20" si="0">+C8-D8-E8</f>
        <v>35</v>
      </c>
      <c r="G8" s="9">
        <v>3850</v>
      </c>
      <c r="H8" s="9">
        <f t="shared" ref="H8:H20" si="1">+G8*F8*12</f>
        <v>1617000</v>
      </c>
      <c r="I8" s="9">
        <v>15000</v>
      </c>
      <c r="J8" s="9">
        <f t="shared" ref="J8:J20" si="2">+I8*F8</f>
        <v>525000</v>
      </c>
      <c r="K8" s="10">
        <f t="shared" ref="K8:K20" si="3">G8*15/100</f>
        <v>577.5</v>
      </c>
      <c r="L8" s="9">
        <f t="shared" ref="L8:L20" si="4">+K8*F8*12</f>
        <v>242550</v>
      </c>
      <c r="M8" s="9">
        <v>200</v>
      </c>
      <c r="N8" s="9">
        <f t="shared" ref="N8:N20" si="5">+M8*F8*12</f>
        <v>84000</v>
      </c>
      <c r="O8" s="9">
        <v>0</v>
      </c>
      <c r="P8" s="9">
        <f t="shared" ref="P8:P16" si="6">+O8*J8*12</f>
        <v>0</v>
      </c>
      <c r="Q8" s="9">
        <v>0</v>
      </c>
      <c r="R8" s="9">
        <f t="shared" ref="R8:R16" si="7">+Q8*L8*12</f>
        <v>0</v>
      </c>
      <c r="S8" s="9"/>
      <c r="T8" s="9">
        <f t="shared" ref="T8:T20" si="8">+S8*F8</f>
        <v>0</v>
      </c>
      <c r="U8" s="11">
        <f t="shared" ref="U8:U20" si="9">+T8+R8+P8+N8+L8+J8+H8</f>
        <v>2468550</v>
      </c>
    </row>
    <row r="9" spans="2:21" x14ac:dyDescent="0.25">
      <c r="B9" s="8" t="s">
        <v>16</v>
      </c>
      <c r="C9" s="9">
        <v>20</v>
      </c>
      <c r="D9" s="9">
        <v>5</v>
      </c>
      <c r="E9" s="9">
        <v>0</v>
      </c>
      <c r="F9" s="9">
        <f t="shared" si="0"/>
        <v>15</v>
      </c>
      <c r="G9" s="9">
        <v>4770</v>
      </c>
      <c r="H9" s="9">
        <f t="shared" si="1"/>
        <v>858600</v>
      </c>
      <c r="I9" s="9">
        <v>15000</v>
      </c>
      <c r="J9" s="9">
        <f t="shared" si="2"/>
        <v>225000</v>
      </c>
      <c r="K9" s="10">
        <f t="shared" si="3"/>
        <v>715.5</v>
      </c>
      <c r="L9" s="9">
        <f t="shared" si="4"/>
        <v>128790</v>
      </c>
      <c r="M9" s="9">
        <v>200</v>
      </c>
      <c r="N9" s="9">
        <f t="shared" si="5"/>
        <v>36000</v>
      </c>
      <c r="O9" s="9">
        <v>0</v>
      </c>
      <c r="P9" s="9">
        <f t="shared" si="6"/>
        <v>0</v>
      </c>
      <c r="Q9" s="9">
        <v>0</v>
      </c>
      <c r="R9" s="9">
        <f t="shared" si="7"/>
        <v>0</v>
      </c>
      <c r="S9" s="9"/>
      <c r="T9" s="9">
        <f t="shared" si="8"/>
        <v>0</v>
      </c>
      <c r="U9" s="11">
        <f t="shared" si="9"/>
        <v>1248390</v>
      </c>
    </row>
    <row r="10" spans="2:21" x14ac:dyDescent="0.25">
      <c r="B10" s="8" t="s">
        <v>17</v>
      </c>
      <c r="C10" s="9">
        <v>50</v>
      </c>
      <c r="D10" s="9">
        <v>5</v>
      </c>
      <c r="E10" s="9">
        <v>0</v>
      </c>
      <c r="F10" s="9">
        <f t="shared" si="0"/>
        <v>45</v>
      </c>
      <c r="G10" s="9">
        <v>4770</v>
      </c>
      <c r="H10" s="9">
        <f t="shared" si="1"/>
        <v>2575800</v>
      </c>
      <c r="I10" s="9">
        <v>15000</v>
      </c>
      <c r="J10" s="9">
        <f t="shared" si="2"/>
        <v>675000</v>
      </c>
      <c r="K10" s="10">
        <f t="shared" si="3"/>
        <v>715.5</v>
      </c>
      <c r="L10" s="9">
        <f t="shared" si="4"/>
        <v>386370</v>
      </c>
      <c r="M10" s="9">
        <v>200</v>
      </c>
      <c r="N10" s="9">
        <f t="shared" si="5"/>
        <v>108000</v>
      </c>
      <c r="O10" s="9">
        <v>0</v>
      </c>
      <c r="P10" s="9">
        <f t="shared" si="6"/>
        <v>0</v>
      </c>
      <c r="Q10" s="9">
        <v>0</v>
      </c>
      <c r="R10" s="9">
        <f t="shared" si="7"/>
        <v>0</v>
      </c>
      <c r="S10" s="9"/>
      <c r="T10" s="9">
        <f t="shared" si="8"/>
        <v>0</v>
      </c>
      <c r="U10" s="11">
        <f t="shared" si="9"/>
        <v>3745170</v>
      </c>
    </row>
    <row r="11" spans="2:21" x14ac:dyDescent="0.25">
      <c r="B11" s="8" t="s">
        <v>18</v>
      </c>
      <c r="C11" s="9">
        <v>40</v>
      </c>
      <c r="D11" s="9">
        <v>5</v>
      </c>
      <c r="E11" s="9">
        <v>0</v>
      </c>
      <c r="F11" s="9">
        <f t="shared" si="0"/>
        <v>35</v>
      </c>
      <c r="G11" s="9">
        <v>4770</v>
      </c>
      <c r="H11" s="9">
        <f t="shared" si="1"/>
        <v>2003400</v>
      </c>
      <c r="I11" s="9">
        <v>15000</v>
      </c>
      <c r="J11" s="9">
        <f t="shared" si="2"/>
        <v>525000</v>
      </c>
      <c r="K11" s="10">
        <f t="shared" si="3"/>
        <v>715.5</v>
      </c>
      <c r="L11" s="9">
        <f t="shared" si="4"/>
        <v>300510</v>
      </c>
      <c r="M11" s="9">
        <v>200</v>
      </c>
      <c r="N11" s="9">
        <f t="shared" si="5"/>
        <v>84000</v>
      </c>
      <c r="O11" s="9">
        <v>0</v>
      </c>
      <c r="P11" s="9">
        <f t="shared" si="6"/>
        <v>0</v>
      </c>
      <c r="Q11" s="9">
        <v>0</v>
      </c>
      <c r="R11" s="9">
        <f t="shared" si="7"/>
        <v>0</v>
      </c>
      <c r="S11" s="9"/>
      <c r="T11" s="9">
        <f t="shared" si="8"/>
        <v>0</v>
      </c>
      <c r="U11" s="11">
        <f t="shared" si="9"/>
        <v>2912910</v>
      </c>
    </row>
    <row r="12" spans="2:21" x14ac:dyDescent="0.25">
      <c r="B12" s="8" t="s">
        <v>19</v>
      </c>
      <c r="C12" s="9">
        <v>60</v>
      </c>
      <c r="D12" s="9">
        <v>5</v>
      </c>
      <c r="E12" s="9">
        <v>0</v>
      </c>
      <c r="F12" s="9">
        <f t="shared" si="0"/>
        <v>55</v>
      </c>
      <c r="G12" s="9">
        <v>4770</v>
      </c>
      <c r="H12" s="9">
        <f t="shared" si="1"/>
        <v>3148200</v>
      </c>
      <c r="I12" s="9">
        <v>15000</v>
      </c>
      <c r="J12" s="9">
        <f t="shared" si="2"/>
        <v>825000</v>
      </c>
      <c r="K12" s="10">
        <f t="shared" si="3"/>
        <v>715.5</v>
      </c>
      <c r="L12" s="9">
        <f t="shared" si="4"/>
        <v>472230</v>
      </c>
      <c r="M12" s="9">
        <v>200</v>
      </c>
      <c r="N12" s="9">
        <f t="shared" si="5"/>
        <v>132000</v>
      </c>
      <c r="O12" s="9">
        <v>0</v>
      </c>
      <c r="P12" s="9">
        <f t="shared" si="6"/>
        <v>0</v>
      </c>
      <c r="Q12" s="9">
        <v>0</v>
      </c>
      <c r="R12" s="9">
        <f t="shared" si="7"/>
        <v>0</v>
      </c>
      <c r="S12" s="9"/>
      <c r="T12" s="9">
        <f t="shared" si="8"/>
        <v>0</v>
      </c>
      <c r="U12" s="11">
        <f t="shared" si="9"/>
        <v>4577430</v>
      </c>
    </row>
    <row r="13" spans="2:21" x14ac:dyDescent="0.25">
      <c r="B13" s="8" t="s">
        <v>20</v>
      </c>
      <c r="C13" s="9">
        <v>70</v>
      </c>
      <c r="D13" s="9">
        <v>5</v>
      </c>
      <c r="E13" s="9">
        <v>0</v>
      </c>
      <c r="F13" s="9">
        <f t="shared" si="0"/>
        <v>65</v>
      </c>
      <c r="G13" s="9">
        <v>4770</v>
      </c>
      <c r="H13" s="9">
        <f t="shared" si="1"/>
        <v>3720600</v>
      </c>
      <c r="I13" s="9">
        <v>15000</v>
      </c>
      <c r="J13" s="9">
        <f t="shared" si="2"/>
        <v>975000</v>
      </c>
      <c r="K13" s="10">
        <f t="shared" si="3"/>
        <v>715.5</v>
      </c>
      <c r="L13" s="9">
        <f t="shared" si="4"/>
        <v>558090</v>
      </c>
      <c r="M13" s="9">
        <v>200</v>
      </c>
      <c r="N13" s="9">
        <f t="shared" si="5"/>
        <v>156000</v>
      </c>
      <c r="O13" s="9">
        <v>0</v>
      </c>
      <c r="P13" s="9">
        <f t="shared" si="6"/>
        <v>0</v>
      </c>
      <c r="Q13" s="9">
        <v>0</v>
      </c>
      <c r="R13" s="9">
        <f t="shared" si="7"/>
        <v>0</v>
      </c>
      <c r="S13" s="9"/>
      <c r="T13" s="9">
        <f t="shared" si="8"/>
        <v>0</v>
      </c>
      <c r="U13" s="11">
        <f t="shared" si="9"/>
        <v>5409690</v>
      </c>
    </row>
    <row r="14" spans="2:21" x14ac:dyDescent="0.25">
      <c r="B14" s="8" t="s">
        <v>21</v>
      </c>
      <c r="C14" s="9">
        <v>90</v>
      </c>
      <c r="D14" s="9">
        <v>5</v>
      </c>
      <c r="E14" s="9">
        <v>0</v>
      </c>
      <c r="F14" s="9">
        <f t="shared" si="0"/>
        <v>85</v>
      </c>
      <c r="G14" s="9">
        <v>4770</v>
      </c>
      <c r="H14" s="9">
        <f t="shared" si="1"/>
        <v>4865400</v>
      </c>
      <c r="I14" s="9">
        <v>15000</v>
      </c>
      <c r="J14" s="9">
        <f t="shared" si="2"/>
        <v>1275000</v>
      </c>
      <c r="K14" s="10">
        <f t="shared" si="3"/>
        <v>715.5</v>
      </c>
      <c r="L14" s="9">
        <f t="shared" si="4"/>
        <v>729810</v>
      </c>
      <c r="M14" s="9">
        <v>200</v>
      </c>
      <c r="N14" s="9">
        <f t="shared" si="5"/>
        <v>204000</v>
      </c>
      <c r="O14" s="9">
        <v>0</v>
      </c>
      <c r="P14" s="9">
        <f t="shared" si="6"/>
        <v>0</v>
      </c>
      <c r="Q14" s="9">
        <v>0</v>
      </c>
      <c r="R14" s="9">
        <f t="shared" si="7"/>
        <v>0</v>
      </c>
      <c r="S14" s="9"/>
      <c r="T14" s="9">
        <f t="shared" si="8"/>
        <v>0</v>
      </c>
      <c r="U14" s="11">
        <f t="shared" si="9"/>
        <v>7074210</v>
      </c>
    </row>
    <row r="15" spans="2:21" x14ac:dyDescent="0.25">
      <c r="B15" s="8" t="s">
        <v>22</v>
      </c>
      <c r="C15" s="9">
        <v>70</v>
      </c>
      <c r="D15" s="9">
        <v>5</v>
      </c>
      <c r="E15" s="9">
        <v>0</v>
      </c>
      <c r="F15" s="9">
        <f t="shared" si="0"/>
        <v>65</v>
      </c>
      <c r="G15" s="9">
        <v>4770</v>
      </c>
      <c r="H15" s="9">
        <f t="shared" si="1"/>
        <v>3720600</v>
      </c>
      <c r="I15" s="9">
        <v>15000</v>
      </c>
      <c r="J15" s="9">
        <f t="shared" si="2"/>
        <v>975000</v>
      </c>
      <c r="K15" s="10">
        <f t="shared" si="3"/>
        <v>715.5</v>
      </c>
      <c r="L15" s="9">
        <f t="shared" si="4"/>
        <v>558090</v>
      </c>
      <c r="M15" s="9">
        <v>200</v>
      </c>
      <c r="N15" s="9">
        <f t="shared" si="5"/>
        <v>156000</v>
      </c>
      <c r="O15" s="9">
        <v>0</v>
      </c>
      <c r="P15" s="9">
        <f t="shared" si="6"/>
        <v>0</v>
      </c>
      <c r="Q15" s="9">
        <v>0</v>
      </c>
      <c r="R15" s="9">
        <f t="shared" si="7"/>
        <v>0</v>
      </c>
      <c r="S15" s="9"/>
      <c r="T15" s="9">
        <f t="shared" si="8"/>
        <v>0</v>
      </c>
      <c r="U15" s="11">
        <f t="shared" si="9"/>
        <v>5409690</v>
      </c>
    </row>
    <row r="16" spans="2:21" x14ac:dyDescent="0.25">
      <c r="B16" s="8" t="s">
        <v>23</v>
      </c>
      <c r="C16" s="9">
        <v>100</v>
      </c>
      <c r="D16" s="9">
        <v>5</v>
      </c>
      <c r="E16" s="9">
        <v>0</v>
      </c>
      <c r="F16" s="9">
        <f t="shared" si="0"/>
        <v>95</v>
      </c>
      <c r="G16" s="9">
        <v>4770</v>
      </c>
      <c r="H16" s="9">
        <f t="shared" si="1"/>
        <v>5437800</v>
      </c>
      <c r="I16" s="9">
        <v>15000</v>
      </c>
      <c r="J16" s="9">
        <f t="shared" si="2"/>
        <v>1425000</v>
      </c>
      <c r="K16" s="10">
        <f t="shared" si="3"/>
        <v>715.5</v>
      </c>
      <c r="L16" s="9">
        <f t="shared" si="4"/>
        <v>815670</v>
      </c>
      <c r="M16" s="9">
        <v>200</v>
      </c>
      <c r="N16" s="9">
        <f t="shared" si="5"/>
        <v>228000</v>
      </c>
      <c r="O16" s="9">
        <v>0</v>
      </c>
      <c r="P16" s="9">
        <f t="shared" si="6"/>
        <v>0</v>
      </c>
      <c r="Q16" s="9">
        <v>0</v>
      </c>
      <c r="R16" s="9">
        <f t="shared" si="7"/>
        <v>0</v>
      </c>
      <c r="S16" s="9"/>
      <c r="T16" s="9">
        <f t="shared" si="8"/>
        <v>0</v>
      </c>
      <c r="U16" s="11">
        <f t="shared" si="9"/>
        <v>7906470</v>
      </c>
    </row>
    <row r="17" spans="2:21" x14ac:dyDescent="0.25">
      <c r="B17" s="8" t="s">
        <v>24</v>
      </c>
      <c r="C17" s="9">
        <v>112</v>
      </c>
      <c r="D17" s="9">
        <v>0</v>
      </c>
      <c r="E17" s="9">
        <v>0</v>
      </c>
      <c r="F17" s="9">
        <f t="shared" si="0"/>
        <v>112</v>
      </c>
      <c r="G17" s="9">
        <v>4770</v>
      </c>
      <c r="H17" s="9">
        <f t="shared" si="1"/>
        <v>6410880</v>
      </c>
      <c r="I17" s="9">
        <v>15000</v>
      </c>
      <c r="J17" s="9">
        <f t="shared" si="2"/>
        <v>1680000</v>
      </c>
      <c r="K17" s="10">
        <f t="shared" si="3"/>
        <v>715.5</v>
      </c>
      <c r="L17" s="9">
        <f t="shared" si="4"/>
        <v>961632</v>
      </c>
      <c r="M17" s="9">
        <v>200</v>
      </c>
      <c r="N17" s="9">
        <f t="shared" si="5"/>
        <v>268800</v>
      </c>
      <c r="O17" s="9">
        <v>200</v>
      </c>
      <c r="P17" s="9">
        <f>+O17*F17</f>
        <v>22400</v>
      </c>
      <c r="Q17" s="9">
        <v>200</v>
      </c>
      <c r="R17" s="9">
        <f>+Q17*F17</f>
        <v>22400</v>
      </c>
      <c r="S17" s="9"/>
      <c r="T17" s="9">
        <f t="shared" si="8"/>
        <v>0</v>
      </c>
      <c r="U17" s="11">
        <f t="shared" si="9"/>
        <v>9366112</v>
      </c>
    </row>
    <row r="18" spans="2:21" x14ac:dyDescent="0.25">
      <c r="B18" s="8" t="s">
        <v>25</v>
      </c>
      <c r="C18" s="9">
        <v>166</v>
      </c>
      <c r="D18" s="9">
        <v>0</v>
      </c>
      <c r="E18" s="9">
        <v>0</v>
      </c>
      <c r="F18" s="9">
        <f t="shared" si="0"/>
        <v>166</v>
      </c>
      <c r="G18" s="9">
        <v>4770</v>
      </c>
      <c r="H18" s="9">
        <f t="shared" si="1"/>
        <v>9501840</v>
      </c>
      <c r="I18" s="9">
        <v>15000</v>
      </c>
      <c r="J18" s="9">
        <f t="shared" si="2"/>
        <v>2490000</v>
      </c>
      <c r="K18" s="10">
        <f t="shared" si="3"/>
        <v>715.5</v>
      </c>
      <c r="L18" s="9">
        <f t="shared" si="4"/>
        <v>1425276</v>
      </c>
      <c r="M18" s="9">
        <v>200</v>
      </c>
      <c r="N18" s="9">
        <f t="shared" si="5"/>
        <v>398400</v>
      </c>
      <c r="O18" s="9">
        <v>200</v>
      </c>
      <c r="P18" s="9">
        <f t="shared" ref="P18:P20" si="10">+O18*F18</f>
        <v>33200</v>
      </c>
      <c r="Q18" s="9">
        <v>200</v>
      </c>
      <c r="R18" s="9">
        <f t="shared" ref="R18:R20" si="11">+Q18*F18</f>
        <v>33200</v>
      </c>
      <c r="S18" s="9"/>
      <c r="T18" s="9">
        <f t="shared" si="8"/>
        <v>0</v>
      </c>
      <c r="U18" s="11">
        <f t="shared" si="9"/>
        <v>13881916</v>
      </c>
    </row>
    <row r="19" spans="2:21" x14ac:dyDescent="0.25">
      <c r="B19" s="8" t="s">
        <v>26</v>
      </c>
      <c r="C19" s="9">
        <v>150</v>
      </c>
      <c r="D19" s="9">
        <v>0</v>
      </c>
      <c r="E19" s="9">
        <v>0</v>
      </c>
      <c r="F19" s="9">
        <f t="shared" si="0"/>
        <v>150</v>
      </c>
      <c r="G19" s="9">
        <v>5100</v>
      </c>
      <c r="H19" s="9">
        <f t="shared" si="1"/>
        <v>9180000</v>
      </c>
      <c r="I19" s="9">
        <v>15000</v>
      </c>
      <c r="J19" s="9">
        <f t="shared" si="2"/>
        <v>2250000</v>
      </c>
      <c r="K19" s="10">
        <f t="shared" si="3"/>
        <v>765</v>
      </c>
      <c r="L19" s="9">
        <f t="shared" si="4"/>
        <v>1377000</v>
      </c>
      <c r="M19" s="9">
        <v>200</v>
      </c>
      <c r="N19" s="9">
        <f t="shared" si="5"/>
        <v>360000</v>
      </c>
      <c r="O19" s="9">
        <v>200</v>
      </c>
      <c r="P19" s="9">
        <f t="shared" si="10"/>
        <v>30000</v>
      </c>
      <c r="Q19" s="9">
        <v>200</v>
      </c>
      <c r="R19" s="9">
        <f t="shared" si="11"/>
        <v>30000</v>
      </c>
      <c r="S19" s="9"/>
      <c r="T19" s="9">
        <f t="shared" si="8"/>
        <v>0</v>
      </c>
      <c r="U19" s="11">
        <f t="shared" si="9"/>
        <v>13227000</v>
      </c>
    </row>
    <row r="20" spans="2:21" ht="15.75" thickBot="1" x14ac:dyDescent="0.3">
      <c r="B20" s="12" t="s">
        <v>27</v>
      </c>
      <c r="C20" s="13">
        <v>150</v>
      </c>
      <c r="D20" s="13">
        <v>0</v>
      </c>
      <c r="E20" s="13">
        <v>0</v>
      </c>
      <c r="F20" s="14">
        <f t="shared" si="0"/>
        <v>150</v>
      </c>
      <c r="G20" s="13">
        <v>5100</v>
      </c>
      <c r="H20" s="13">
        <f t="shared" si="1"/>
        <v>9180000</v>
      </c>
      <c r="I20" s="13">
        <v>15000</v>
      </c>
      <c r="J20" s="13">
        <f t="shared" si="2"/>
        <v>2250000</v>
      </c>
      <c r="K20" s="15">
        <f t="shared" si="3"/>
        <v>765</v>
      </c>
      <c r="L20" s="13">
        <f t="shared" si="4"/>
        <v>1377000</v>
      </c>
      <c r="M20" s="13">
        <v>200</v>
      </c>
      <c r="N20" s="13">
        <f t="shared" si="5"/>
        <v>360000</v>
      </c>
      <c r="O20" s="13">
        <v>200</v>
      </c>
      <c r="P20" s="13">
        <f t="shared" si="10"/>
        <v>30000</v>
      </c>
      <c r="Q20" s="13">
        <v>200</v>
      </c>
      <c r="R20" s="13">
        <f t="shared" si="11"/>
        <v>30000</v>
      </c>
      <c r="S20" s="13"/>
      <c r="T20" s="13">
        <f t="shared" si="8"/>
        <v>0</v>
      </c>
      <c r="U20" s="16">
        <f t="shared" si="9"/>
        <v>13227000</v>
      </c>
    </row>
    <row r="21" spans="2:21" ht="15.75" thickBot="1" x14ac:dyDescent="0.3">
      <c r="B21" s="17"/>
      <c r="C21" s="18">
        <f t="shared" ref="C21:F21" si="12">SUM(C7:C20)</f>
        <v>1158</v>
      </c>
      <c r="D21" s="18">
        <f t="shared" si="12"/>
        <v>50</v>
      </c>
      <c r="E21" s="18">
        <f t="shared" si="12"/>
        <v>0</v>
      </c>
      <c r="F21" s="18">
        <f t="shared" si="12"/>
        <v>1108</v>
      </c>
      <c r="G21" s="19"/>
      <c r="H21" s="19">
        <f>SUM(H7:H20)</f>
        <v>63837120</v>
      </c>
      <c r="I21" s="19"/>
      <c r="J21" s="19">
        <f>SUM(J7:J20)</f>
        <v>16620000</v>
      </c>
      <c r="K21" s="19"/>
      <c r="L21" s="19">
        <f>SUM(L7:L20)</f>
        <v>9575568</v>
      </c>
      <c r="M21" s="19"/>
      <c r="N21" s="19">
        <f>SUM(N7:N20)</f>
        <v>2659200</v>
      </c>
      <c r="O21" s="19"/>
      <c r="P21" s="19">
        <f>SUM(P7:P20)</f>
        <v>115600</v>
      </c>
      <c r="Q21" s="19"/>
      <c r="R21" s="19">
        <f>SUM(R7:R20)</f>
        <v>115600</v>
      </c>
      <c r="S21" s="19"/>
      <c r="T21" s="19">
        <f>SUM(T7:T20)</f>
        <v>0</v>
      </c>
      <c r="U21" s="20">
        <f>SUM(U7:U20)</f>
        <v>92923088</v>
      </c>
    </row>
    <row r="22" spans="2:21" x14ac:dyDescent="0.25">
      <c r="B22" s="21" t="s">
        <v>28</v>
      </c>
      <c r="C22" s="22"/>
      <c r="D22" s="22"/>
      <c r="E22" s="22"/>
      <c r="F22" s="22"/>
      <c r="G22" s="22"/>
      <c r="H22" s="22">
        <v>6693</v>
      </c>
      <c r="I22" s="22"/>
      <c r="J22" s="22">
        <v>34250</v>
      </c>
      <c r="K22" s="22"/>
      <c r="L22" s="22">
        <v>9874</v>
      </c>
      <c r="M22" s="22"/>
      <c r="N22" s="22">
        <v>9874</v>
      </c>
      <c r="O22" s="22"/>
      <c r="P22" s="22">
        <v>9874</v>
      </c>
      <c r="Q22" s="22"/>
      <c r="R22" s="22">
        <v>9874</v>
      </c>
      <c r="S22" s="22"/>
      <c r="T22" s="22"/>
      <c r="U22" s="23">
        <v>80548</v>
      </c>
    </row>
    <row r="23" spans="2:21" x14ac:dyDescent="0.25">
      <c r="B23" s="24" t="s">
        <v>29</v>
      </c>
      <c r="C23" s="9"/>
      <c r="D23" s="9"/>
      <c r="E23" s="9"/>
      <c r="F23" s="9"/>
      <c r="G23" s="9"/>
      <c r="H23" s="9">
        <f>H21-H22</f>
        <v>63830427</v>
      </c>
      <c r="I23" s="9"/>
      <c r="J23" s="9">
        <f>J21-J22</f>
        <v>16585750</v>
      </c>
      <c r="K23" s="9"/>
      <c r="L23" s="9">
        <f>L21-L22</f>
        <v>9565694</v>
      </c>
      <c r="M23" s="9"/>
      <c r="N23" s="9">
        <f>N21-N22</f>
        <v>2649326</v>
      </c>
      <c r="O23" s="9"/>
      <c r="P23" s="9">
        <f>P21-P22</f>
        <v>105726</v>
      </c>
      <c r="Q23" s="9"/>
      <c r="R23" s="9">
        <f>R21-R22</f>
        <v>105726</v>
      </c>
      <c r="S23" s="9"/>
      <c r="T23" s="9"/>
      <c r="U23" s="11">
        <f>U21-U22</f>
        <v>92842540</v>
      </c>
    </row>
    <row r="24" spans="2:21" x14ac:dyDescent="0.25">
      <c r="B24" s="24" t="s">
        <v>30</v>
      </c>
      <c r="C24" s="9"/>
      <c r="D24" s="9"/>
      <c r="E24" s="25"/>
      <c r="F24" s="9"/>
      <c r="G24" s="9"/>
      <c r="H24" s="9">
        <v>0</v>
      </c>
      <c r="I24" s="9"/>
      <c r="J24" s="9">
        <v>0</v>
      </c>
      <c r="K24" s="9"/>
      <c r="L24" s="9">
        <v>0</v>
      </c>
      <c r="M24" s="9"/>
      <c r="N24" s="9">
        <v>0</v>
      </c>
      <c r="O24" s="9"/>
      <c r="P24" s="9">
        <v>0</v>
      </c>
      <c r="Q24" s="9"/>
      <c r="R24" s="9">
        <v>0</v>
      </c>
      <c r="S24" s="9"/>
      <c r="T24" s="9"/>
      <c r="U24" s="11">
        <f>7803*29</f>
        <v>226287</v>
      </c>
    </row>
    <row r="25" spans="2:21" ht="15.75" thickBot="1" x14ac:dyDescent="0.3">
      <c r="B25" s="26" t="s">
        <v>31</v>
      </c>
      <c r="C25" s="27"/>
      <c r="D25" s="27"/>
      <c r="E25" s="27"/>
      <c r="F25" s="27"/>
      <c r="G25" s="27"/>
      <c r="H25" s="28">
        <f>H23+H24</f>
        <v>63830427</v>
      </c>
      <c r="I25" s="28"/>
      <c r="J25" s="28">
        <f>J23+J24</f>
        <v>16585750</v>
      </c>
      <c r="K25" s="28"/>
      <c r="L25" s="28">
        <f>L23+L24</f>
        <v>9565694</v>
      </c>
      <c r="M25" s="28"/>
      <c r="N25" s="28">
        <f>N23+N24</f>
        <v>2649326</v>
      </c>
      <c r="O25" s="28"/>
      <c r="P25" s="28">
        <f>P23+P24</f>
        <v>105726</v>
      </c>
      <c r="Q25" s="28"/>
      <c r="R25" s="28">
        <f>R23+R24</f>
        <v>105726</v>
      </c>
      <c r="S25" s="28"/>
      <c r="T25" s="28"/>
      <c r="U25" s="29">
        <f>U23+U24</f>
        <v>93068827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0DD5AD4D5F1840A87D4521463F5E08" ma:contentTypeVersion="6" ma:contentTypeDescription="Create a new document." ma:contentTypeScope="" ma:versionID="8a23aa41062a22e788dda96f5553d2ea">
  <xsd:schema xmlns:xsd="http://www.w3.org/2001/XMLSchema" xmlns:xs="http://www.w3.org/2001/XMLSchema" xmlns:p="http://schemas.microsoft.com/office/2006/metadata/properties" xmlns:ns3="430e7c1a-82dc-43bd-ae51-84dba8e6f79f" targetNamespace="http://schemas.microsoft.com/office/2006/metadata/properties" ma:root="true" ma:fieldsID="2088ec795f61e49af4a5d85b5489a606" ns3:_="">
    <xsd:import namespace="430e7c1a-82dc-43bd-ae51-84dba8e6f7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e7c1a-82dc-43bd-ae51-84dba8e6f7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DAC3C5-EAA5-4014-89AD-48DAEB605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0e7c1a-82dc-43bd-ae51-84dba8e6f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D26C5B-FE46-4ACA-AAD9-AAE1764F3CEC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30e7c1a-82dc-43bd-ae51-84dba8e6f79f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CEC6CFA-11B3-46A4-858F-227C8C2E96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fund accounting</vt:lpstr>
      <vt:lpstr>FEE RECO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BATRA</dc:creator>
  <cp:lastModifiedBy>PUNEET BATRA</cp:lastModifiedBy>
  <dcterms:created xsi:type="dcterms:W3CDTF">2024-04-04T09:04:03Z</dcterms:created>
  <dcterms:modified xsi:type="dcterms:W3CDTF">2024-04-04T09:07:33Z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0x010100A60DD5AD4D5F1840A87D4521463F5E08</vt:lpwstr>
  </property>
</Properties>
</file>